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iverse\خطــــــابــــــــــات\خطابات 2026\التقرير اليومى للبورصة المصرية\"/>
    </mc:Choice>
  </mc:AlternateContent>
  <xr:revisionPtr revIDLastSave="0" documentId="13_ncr:1_{7CE65A0C-2E2E-4546-81FC-CC10F9A820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التقرير اليومى" sheetId="1" r:id="rId1"/>
    <sheet name="تقرير متابعة" sheetId="3" r:id="rId2"/>
    <sheet name="نسبة التغير" sheetId="5" r:id="rId3"/>
  </sheets>
  <definedNames>
    <definedName name="_xlnm._FilterDatabase" localSheetId="0" hidden="1">'التقرير اليومى'!$A$1:$N$1</definedName>
    <definedName name="_xlnm.Print_Titles" localSheetId="0">'التقرير اليومى'!$1:$1</definedName>
    <definedName name="_xlnm.Print_Titles" localSheetId="1">'تقرير متابعة'!$1:$3</definedName>
    <definedName name="_xlnm.Print_Titles" localSheetId="2">'نسبة التغير'!$1:$3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3" i="1" l="1"/>
  <c r="H292" i="1"/>
  <c r="H291" i="1"/>
  <c r="H290" i="1"/>
  <c r="F149" i="5"/>
  <c r="F148" i="5"/>
  <c r="E149" i="5"/>
  <c r="E148" i="5"/>
  <c r="C149" i="5"/>
  <c r="C148" i="5"/>
  <c r="B149" i="5"/>
  <c r="B148" i="5"/>
  <c r="A149" i="5"/>
  <c r="A148" i="5"/>
  <c r="F149" i="3"/>
  <c r="F148" i="3"/>
  <c r="E149" i="3"/>
  <c r="E148" i="3"/>
  <c r="C149" i="3"/>
  <c r="C148" i="3"/>
  <c r="B149" i="3"/>
  <c r="B148" i="3"/>
  <c r="A149" i="3"/>
  <c r="A148" i="3"/>
  <c r="J292" i="1"/>
  <c r="N293" i="1"/>
  <c r="M293" i="1"/>
  <c r="L293" i="1"/>
  <c r="G149" i="3" s="1"/>
  <c r="P292" i="1"/>
  <c r="N292" i="1"/>
  <c r="M292" i="1"/>
  <c r="L292" i="1"/>
  <c r="O292" i="1" s="1"/>
  <c r="N291" i="1"/>
  <c r="M291" i="1"/>
  <c r="L291" i="1"/>
  <c r="G148" i="3" s="1"/>
  <c r="P290" i="1"/>
  <c r="N290" i="1"/>
  <c r="M290" i="1"/>
  <c r="L290" i="1"/>
  <c r="O290" i="1" s="1"/>
  <c r="H289" i="1"/>
  <c r="H288" i="1"/>
  <c r="F147" i="5"/>
  <c r="E147" i="5"/>
  <c r="C147" i="5"/>
  <c r="B147" i="5"/>
  <c r="A147" i="5"/>
  <c r="G147" i="3"/>
  <c r="F147" i="3"/>
  <c r="E147" i="3"/>
  <c r="D147" i="3"/>
  <c r="C147" i="3"/>
  <c r="B147" i="3"/>
  <c r="A147" i="3"/>
  <c r="J288" i="1"/>
  <c r="N289" i="1"/>
  <c r="M289" i="1"/>
  <c r="L289" i="1"/>
  <c r="P288" i="1"/>
  <c r="O288" i="1"/>
  <c r="M288" i="1"/>
  <c r="L288" i="1"/>
  <c r="H287" i="1"/>
  <c r="H286" i="1"/>
  <c r="J287" i="1"/>
  <c r="J286" i="1"/>
  <c r="F146" i="5"/>
  <c r="E146" i="5"/>
  <c r="C146" i="5"/>
  <c r="B146" i="5"/>
  <c r="A146" i="5"/>
  <c r="G146" i="3"/>
  <c r="F146" i="3"/>
  <c r="E146" i="3"/>
  <c r="D146" i="3"/>
  <c r="C146" i="3"/>
  <c r="B146" i="3"/>
  <c r="A146" i="3"/>
  <c r="N287" i="1"/>
  <c r="M287" i="1"/>
  <c r="L287" i="1"/>
  <c r="P286" i="1"/>
  <c r="N286" i="1"/>
  <c r="M286" i="1"/>
  <c r="L286" i="1"/>
  <c r="O286" i="1" s="1"/>
  <c r="H285" i="1"/>
  <c r="H284" i="1"/>
  <c r="F145" i="5"/>
  <c r="E145" i="5"/>
  <c r="C145" i="5"/>
  <c r="B145" i="5"/>
  <c r="A145" i="5"/>
  <c r="F145" i="3"/>
  <c r="E145" i="3"/>
  <c r="C145" i="3"/>
  <c r="B145" i="3"/>
  <c r="A145" i="3"/>
  <c r="J285" i="1"/>
  <c r="J284" i="1"/>
  <c r="N285" i="1"/>
  <c r="M285" i="1"/>
  <c r="L285" i="1"/>
  <c r="G145" i="3" s="1"/>
  <c r="P284" i="1"/>
  <c r="M284" i="1"/>
  <c r="L284" i="1"/>
  <c r="D145" i="3" s="1"/>
  <c r="G144" i="3"/>
  <c r="F144" i="3"/>
  <c r="E144" i="3"/>
  <c r="H283" i="1"/>
  <c r="H282" i="1"/>
  <c r="F144" i="5"/>
  <c r="E144" i="5"/>
  <c r="C144" i="5"/>
  <c r="B144" i="5"/>
  <c r="A144" i="5"/>
  <c r="C144" i="3"/>
  <c r="B144" i="3"/>
  <c r="A144" i="3"/>
  <c r="J282" i="1"/>
  <c r="N283" i="1"/>
  <c r="M283" i="1"/>
  <c r="L283" i="1"/>
  <c r="P282" i="1"/>
  <c r="N282" i="1"/>
  <c r="M282" i="1"/>
  <c r="L282" i="1"/>
  <c r="D144" i="3" s="1"/>
  <c r="F143" i="5"/>
  <c r="E143" i="5"/>
  <c r="C143" i="5"/>
  <c r="B143" i="5"/>
  <c r="A143" i="5"/>
  <c r="G143" i="3"/>
  <c r="F143" i="3"/>
  <c r="E143" i="3"/>
  <c r="D143" i="3"/>
  <c r="C143" i="3"/>
  <c r="B143" i="3"/>
  <c r="A143" i="3"/>
  <c r="H281" i="1"/>
  <c r="J280" i="1"/>
  <c r="H280" i="1"/>
  <c r="N281" i="1"/>
  <c r="M281" i="1"/>
  <c r="L281" i="1"/>
  <c r="P280" i="1"/>
  <c r="M280" i="1"/>
  <c r="L280" i="1"/>
  <c r="O280" i="1" s="1"/>
  <c r="H279" i="1"/>
  <c r="H278" i="1"/>
  <c r="J278" i="1"/>
  <c r="F142" i="5"/>
  <c r="E142" i="5"/>
  <c r="C142" i="5"/>
  <c r="B142" i="5"/>
  <c r="A142" i="5"/>
  <c r="G142" i="3"/>
  <c r="F142" i="3"/>
  <c r="E142" i="3"/>
  <c r="D142" i="3"/>
  <c r="C142" i="3"/>
  <c r="B142" i="3"/>
  <c r="A142" i="3"/>
  <c r="N279" i="1"/>
  <c r="M279" i="1"/>
  <c r="L279" i="1"/>
  <c r="P278" i="1"/>
  <c r="M278" i="1"/>
  <c r="L278" i="1"/>
  <c r="O278" i="1" s="1"/>
  <c r="H277" i="1"/>
  <c r="H276" i="1"/>
  <c r="F141" i="5"/>
  <c r="E141" i="5"/>
  <c r="C141" i="5"/>
  <c r="B141" i="5"/>
  <c r="A141" i="5"/>
  <c r="G141" i="3"/>
  <c r="F141" i="3"/>
  <c r="E141" i="3"/>
  <c r="D141" i="3"/>
  <c r="C141" i="3"/>
  <c r="B141" i="3"/>
  <c r="A141" i="3"/>
  <c r="J277" i="1"/>
  <c r="J276" i="1"/>
  <c r="N277" i="1"/>
  <c r="M277" i="1"/>
  <c r="L277" i="1"/>
  <c r="P276" i="1"/>
  <c r="N276" i="1"/>
  <c r="M276" i="1"/>
  <c r="L276" i="1"/>
  <c r="O276" i="1" s="1"/>
  <c r="J275" i="1"/>
  <c r="J274" i="1"/>
  <c r="H275" i="1"/>
  <c r="H274" i="1"/>
  <c r="D149" i="3" l="1"/>
  <c r="D148" i="3"/>
  <c r="O284" i="1"/>
  <c r="O282" i="1"/>
  <c r="F140" i="5"/>
  <c r="E140" i="5"/>
  <c r="C140" i="5"/>
  <c r="B140" i="5"/>
  <c r="A140" i="5"/>
  <c r="G140" i="3"/>
  <c r="F140" i="3"/>
  <c r="E140" i="3"/>
  <c r="D140" i="3"/>
  <c r="C140" i="3"/>
  <c r="B140" i="3"/>
  <c r="A140" i="3"/>
  <c r="N275" i="1"/>
  <c r="M275" i="1"/>
  <c r="L275" i="1"/>
  <c r="P274" i="1"/>
  <c r="N274" i="1"/>
  <c r="M274" i="1"/>
  <c r="L274" i="1"/>
  <c r="O274" i="1" s="1"/>
  <c r="H273" i="1"/>
  <c r="H272" i="1"/>
  <c r="H271" i="1"/>
  <c r="H270" i="1"/>
  <c r="F139" i="5"/>
  <c r="F138" i="5"/>
  <c r="E139" i="5"/>
  <c r="E138" i="5"/>
  <c r="C139" i="5"/>
  <c r="C138" i="5"/>
  <c r="B139" i="5"/>
  <c r="B138" i="5"/>
  <c r="A139" i="5"/>
  <c r="A138" i="5"/>
  <c r="G138" i="3"/>
  <c r="F139" i="3"/>
  <c r="F138" i="3"/>
  <c r="E139" i="3"/>
  <c r="E138" i="3"/>
  <c r="D138" i="3"/>
  <c r="C139" i="3"/>
  <c r="C138" i="3"/>
  <c r="B139" i="3"/>
  <c r="B138" i="3"/>
  <c r="A139" i="3"/>
  <c r="A138" i="3"/>
  <c r="N273" i="1"/>
  <c r="M273" i="1"/>
  <c r="L273" i="1"/>
  <c r="G139" i="3" s="1"/>
  <c r="P272" i="1"/>
  <c r="N272" i="1"/>
  <c r="M272" i="1"/>
  <c r="L272" i="1"/>
  <c r="O272" i="1" s="1"/>
  <c r="N271" i="1"/>
  <c r="M271" i="1"/>
  <c r="L271" i="1"/>
  <c r="P270" i="1"/>
  <c r="N270" i="1"/>
  <c r="M270" i="1"/>
  <c r="L270" i="1"/>
  <c r="O270" i="1" s="1"/>
  <c r="H269" i="1"/>
  <c r="H268" i="1"/>
  <c r="J269" i="1"/>
  <c r="J268" i="1"/>
  <c r="F137" i="5"/>
  <c r="E137" i="5"/>
  <c r="C137" i="5"/>
  <c r="B137" i="5"/>
  <c r="A137" i="5"/>
  <c r="G137" i="3"/>
  <c r="F137" i="3"/>
  <c r="E137" i="3"/>
  <c r="D137" i="3"/>
  <c r="C137" i="3"/>
  <c r="B137" i="3"/>
  <c r="A137" i="3"/>
  <c r="N269" i="1"/>
  <c r="M269" i="1"/>
  <c r="L269" i="1"/>
  <c r="P268" i="1"/>
  <c r="N268" i="1"/>
  <c r="M268" i="1"/>
  <c r="L268" i="1"/>
  <c r="O268" i="1" s="1"/>
  <c r="F136" i="5"/>
  <c r="E136" i="5"/>
  <c r="C136" i="5"/>
  <c r="B136" i="5"/>
  <c r="A136" i="5"/>
  <c r="G136" i="3"/>
  <c r="F136" i="3"/>
  <c r="E136" i="3"/>
  <c r="D136" i="3"/>
  <c r="C136" i="3"/>
  <c r="B136" i="3"/>
  <c r="A136" i="3"/>
  <c r="J266" i="1"/>
  <c r="H267" i="1"/>
  <c r="H266" i="1"/>
  <c r="N267" i="1"/>
  <c r="M267" i="1"/>
  <c r="L267" i="1"/>
  <c r="P266" i="1"/>
  <c r="N266" i="1"/>
  <c r="M266" i="1"/>
  <c r="L266" i="1"/>
  <c r="O266" i="1" s="1"/>
  <c r="D139" i="3" l="1"/>
  <c r="H265" i="1"/>
  <c r="H264" i="1"/>
  <c r="J264" i="1" l="1"/>
  <c r="F135" i="5"/>
  <c r="E135" i="5"/>
  <c r="C135" i="5"/>
  <c r="B135" i="5"/>
  <c r="A135" i="5"/>
  <c r="G135" i="3"/>
  <c r="F135" i="3"/>
  <c r="E135" i="3"/>
  <c r="C135" i="3"/>
  <c r="B135" i="3"/>
  <c r="A135" i="3"/>
  <c r="N265" i="1"/>
  <c r="M265" i="1"/>
  <c r="L265" i="1"/>
  <c r="P264" i="1"/>
  <c r="N264" i="1"/>
  <c r="M264" i="1"/>
  <c r="L264" i="1"/>
  <c r="O264" i="1" s="1"/>
  <c r="H263" i="1"/>
  <c r="H262" i="1"/>
  <c r="F134" i="5"/>
  <c r="E134" i="5"/>
  <c r="C134" i="5"/>
  <c r="B134" i="5"/>
  <c r="F133" i="5"/>
  <c r="E133" i="5"/>
  <c r="C133" i="5"/>
  <c r="B133" i="5"/>
  <c r="A134" i="5"/>
  <c r="A133" i="5"/>
  <c r="F134" i="3"/>
  <c r="E134" i="3"/>
  <c r="C134" i="3"/>
  <c r="B134" i="3"/>
  <c r="F133" i="3"/>
  <c r="E133" i="3"/>
  <c r="C133" i="3"/>
  <c r="B133" i="3"/>
  <c r="A134" i="3"/>
  <c r="A133" i="3"/>
  <c r="H261" i="1"/>
  <c r="H260" i="1"/>
  <c r="D135" i="3" l="1"/>
  <c r="N263" i="1"/>
  <c r="M263" i="1"/>
  <c r="L263" i="1"/>
  <c r="G134" i="3" s="1"/>
  <c r="P262" i="1"/>
  <c r="N262" i="1"/>
  <c r="M262" i="1"/>
  <c r="L262" i="1"/>
  <c r="D134" i="3" s="1"/>
  <c r="N261" i="1"/>
  <c r="M261" i="1"/>
  <c r="L261" i="1"/>
  <c r="G133" i="3" s="1"/>
  <c r="P260" i="1"/>
  <c r="N260" i="1"/>
  <c r="M260" i="1"/>
  <c r="L260" i="1"/>
  <c r="O260" i="1" l="1"/>
  <c r="D133" i="3"/>
  <c r="O262" i="1"/>
  <c r="F132" i="5"/>
  <c r="E132" i="5"/>
  <c r="C132" i="5"/>
  <c r="B132" i="5"/>
  <c r="A132" i="5"/>
  <c r="F132" i="3"/>
  <c r="E132" i="3"/>
  <c r="D132" i="3"/>
  <c r="C132" i="3"/>
  <c r="B132" i="3"/>
  <c r="A132" i="3"/>
  <c r="H259" i="1"/>
  <c r="H258" i="1"/>
  <c r="J259" i="1"/>
  <c r="J258" i="1"/>
  <c r="N259" i="1"/>
  <c r="M259" i="1"/>
  <c r="L259" i="1"/>
  <c r="G132" i="3" s="1"/>
  <c r="P258" i="1"/>
  <c r="N258" i="1"/>
  <c r="M258" i="1"/>
  <c r="L258" i="1"/>
  <c r="O258" i="1" s="1"/>
  <c r="H257" i="1"/>
  <c r="H256" i="1"/>
  <c r="F131" i="5"/>
  <c r="E131" i="5"/>
  <c r="C131" i="5"/>
  <c r="B131" i="5"/>
  <c r="D131" i="5" s="1"/>
  <c r="A131" i="5"/>
  <c r="G131" i="3"/>
  <c r="F131" i="3"/>
  <c r="E131" i="3"/>
  <c r="C131" i="3"/>
  <c r="B131" i="3"/>
  <c r="A131" i="3"/>
  <c r="N257" i="1"/>
  <c r="M257" i="1"/>
  <c r="L257" i="1"/>
  <c r="P256" i="1"/>
  <c r="N256" i="1"/>
  <c r="M256" i="1"/>
  <c r="L256" i="1"/>
  <c r="O256" i="1" s="1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H255" i="1"/>
  <c r="H254" i="1"/>
  <c r="H253" i="1"/>
  <c r="H252" i="1"/>
  <c r="J252" i="1"/>
  <c r="F130" i="5"/>
  <c r="F129" i="5"/>
  <c r="E130" i="5"/>
  <c r="G130" i="5" s="1"/>
  <c r="E129" i="5"/>
  <c r="C130" i="5"/>
  <c r="C129" i="5"/>
  <c r="D129" i="5" s="1"/>
  <c r="B130" i="5"/>
  <c r="B129" i="5"/>
  <c r="A130" i="5"/>
  <c r="A129" i="5"/>
  <c r="F130" i="3"/>
  <c r="F129" i="3"/>
  <c r="E130" i="3"/>
  <c r="E129" i="3"/>
  <c r="D129" i="3"/>
  <c r="C130" i="3"/>
  <c r="C129" i="3"/>
  <c r="B130" i="3"/>
  <c r="B129" i="3"/>
  <c r="A130" i="3"/>
  <c r="A129" i="3"/>
  <c r="N255" i="1"/>
  <c r="M255" i="1"/>
  <c r="L255" i="1"/>
  <c r="G130" i="3" s="1"/>
  <c r="P254" i="1"/>
  <c r="N254" i="1"/>
  <c r="M254" i="1"/>
  <c r="L254" i="1"/>
  <c r="O254" i="1" s="1"/>
  <c r="N253" i="1"/>
  <c r="M253" i="1"/>
  <c r="L253" i="1"/>
  <c r="G129" i="3" s="1"/>
  <c r="P252" i="1"/>
  <c r="N252" i="1"/>
  <c r="M252" i="1"/>
  <c r="L252" i="1"/>
  <c r="O252" i="1" s="1"/>
  <c r="H251" i="1"/>
  <c r="H250" i="1"/>
  <c r="F128" i="5"/>
  <c r="E128" i="5"/>
  <c r="C128" i="5"/>
  <c r="B128" i="5"/>
  <c r="A128" i="5"/>
  <c r="F128" i="3"/>
  <c r="E128" i="3"/>
  <c r="C128" i="3"/>
  <c r="B128" i="3"/>
  <c r="A128" i="3"/>
  <c r="N251" i="1"/>
  <c r="M251" i="1"/>
  <c r="L251" i="1"/>
  <c r="G128" i="3" s="1"/>
  <c r="P250" i="1"/>
  <c r="M250" i="1"/>
  <c r="L250" i="1"/>
  <c r="O250" i="1" s="1"/>
  <c r="H249" i="1"/>
  <c r="H248" i="1"/>
  <c r="F127" i="5"/>
  <c r="E127" i="5"/>
  <c r="C127" i="5"/>
  <c r="B127" i="5"/>
  <c r="A127" i="5"/>
  <c r="F127" i="3"/>
  <c r="E127" i="3"/>
  <c r="C127" i="3"/>
  <c r="B127" i="3"/>
  <c r="A127" i="3"/>
  <c r="N249" i="1"/>
  <c r="M249" i="1"/>
  <c r="L249" i="1"/>
  <c r="G127" i="3" s="1"/>
  <c r="P248" i="1"/>
  <c r="N248" i="1"/>
  <c r="M248" i="1"/>
  <c r="L248" i="1"/>
  <c r="O248" i="1" s="1"/>
  <c r="H247" i="1"/>
  <c r="H246" i="1"/>
  <c r="F126" i="5"/>
  <c r="E126" i="5"/>
  <c r="C126" i="5"/>
  <c r="B126" i="5"/>
  <c r="A126" i="5"/>
  <c r="F126" i="3"/>
  <c r="E126" i="3"/>
  <c r="C126" i="3"/>
  <c r="B126" i="3"/>
  <c r="A126" i="3"/>
  <c r="J246" i="1"/>
  <c r="N247" i="1"/>
  <c r="M247" i="1"/>
  <c r="L247" i="1"/>
  <c r="G126" i="3" s="1"/>
  <c r="P246" i="1"/>
  <c r="N246" i="1"/>
  <c r="M246" i="1"/>
  <c r="L246" i="1"/>
  <c r="O246" i="1" s="1"/>
  <c r="H245" i="1"/>
  <c r="H244" i="1"/>
  <c r="H243" i="1"/>
  <c r="H242" i="1"/>
  <c r="F125" i="5"/>
  <c r="F124" i="5"/>
  <c r="E125" i="5"/>
  <c r="E124" i="5"/>
  <c r="C125" i="5"/>
  <c r="C124" i="5"/>
  <c r="B125" i="5"/>
  <c r="B124" i="5"/>
  <c r="A125" i="5"/>
  <c r="A124" i="5"/>
  <c r="F125" i="3"/>
  <c r="E125" i="3"/>
  <c r="C125" i="3"/>
  <c r="B125" i="3"/>
  <c r="A125" i="3"/>
  <c r="F124" i="3"/>
  <c r="E124" i="3"/>
  <c r="C124" i="3"/>
  <c r="B124" i="3"/>
  <c r="A124" i="3"/>
  <c r="N245" i="1"/>
  <c r="M245" i="1"/>
  <c r="L245" i="1"/>
  <c r="G125" i="3" s="1"/>
  <c r="P244" i="1"/>
  <c r="N244" i="1"/>
  <c r="M244" i="1"/>
  <c r="L244" i="1"/>
  <c r="O244" i="1" s="1"/>
  <c r="N243" i="1"/>
  <c r="M243" i="1"/>
  <c r="L243" i="1"/>
  <c r="G124" i="3" s="1"/>
  <c r="P242" i="1"/>
  <c r="N242" i="1"/>
  <c r="M242" i="1"/>
  <c r="L242" i="1"/>
  <c r="D124" i="3" s="1"/>
  <c r="H241" i="1"/>
  <c r="H240" i="1"/>
  <c r="F123" i="5"/>
  <c r="E123" i="5"/>
  <c r="C123" i="5"/>
  <c r="B123" i="5"/>
  <c r="A123" i="5"/>
  <c r="F123" i="3"/>
  <c r="E123" i="3"/>
  <c r="C123" i="3"/>
  <c r="B123" i="3"/>
  <c r="A123" i="3"/>
  <c r="N241" i="1"/>
  <c r="M241" i="1"/>
  <c r="L241" i="1"/>
  <c r="G123" i="3" s="1"/>
  <c r="P240" i="1"/>
  <c r="N240" i="1"/>
  <c r="M240" i="1"/>
  <c r="L240" i="1"/>
  <c r="O240" i="1" s="1"/>
  <c r="H239" i="1"/>
  <c r="H238" i="1"/>
  <c r="F122" i="5"/>
  <c r="E122" i="5"/>
  <c r="C122" i="5"/>
  <c r="B122" i="5"/>
  <c r="A122" i="5"/>
  <c r="G122" i="3"/>
  <c r="F122" i="3"/>
  <c r="E122" i="3"/>
  <c r="C122" i="3"/>
  <c r="B122" i="3"/>
  <c r="A122" i="3"/>
  <c r="J238" i="1"/>
  <c r="N239" i="1"/>
  <c r="M239" i="1"/>
  <c r="L239" i="1"/>
  <c r="P238" i="1"/>
  <c r="N238" i="1"/>
  <c r="M238" i="1"/>
  <c r="L238" i="1"/>
  <c r="O238" i="1" s="1"/>
  <c r="H237" i="1"/>
  <c r="H236" i="1"/>
  <c r="J237" i="1"/>
  <c r="J236" i="1"/>
  <c r="F121" i="5"/>
  <c r="E121" i="5"/>
  <c r="C121" i="5"/>
  <c r="B121" i="5"/>
  <c r="A121" i="5"/>
  <c r="F121" i="3"/>
  <c r="B121" i="3"/>
  <c r="E121" i="3"/>
  <c r="C121" i="3"/>
  <c r="A121" i="3"/>
  <c r="N237" i="1"/>
  <c r="M237" i="1"/>
  <c r="L237" i="1"/>
  <c r="G121" i="3" s="1"/>
  <c r="P236" i="1"/>
  <c r="N236" i="1"/>
  <c r="M236" i="1"/>
  <c r="L236" i="1"/>
  <c r="O236" i="1" s="1"/>
  <c r="L235" i="1"/>
  <c r="G120" i="3" s="1"/>
  <c r="L234" i="1"/>
  <c r="D120" i="3" s="1"/>
  <c r="L233" i="1"/>
  <c r="G119" i="3" s="1"/>
  <c r="L232" i="1"/>
  <c r="D119" i="3" s="1"/>
  <c r="F120" i="5"/>
  <c r="E120" i="5"/>
  <c r="C120" i="5"/>
  <c r="B120" i="5"/>
  <c r="F119" i="5"/>
  <c r="E119" i="5"/>
  <c r="C119" i="5"/>
  <c r="B119" i="5"/>
  <c r="A120" i="5"/>
  <c r="A119" i="5"/>
  <c r="F120" i="3"/>
  <c r="E120" i="3"/>
  <c r="C120" i="3"/>
  <c r="B120" i="3"/>
  <c r="A120" i="3"/>
  <c r="F119" i="3"/>
  <c r="E119" i="3"/>
  <c r="C119" i="3"/>
  <c r="B119" i="3"/>
  <c r="A119" i="3"/>
  <c r="H235" i="1"/>
  <c r="H234" i="1"/>
  <c r="H233" i="1"/>
  <c r="H232" i="1"/>
  <c r="N235" i="1"/>
  <c r="M235" i="1"/>
  <c r="P234" i="1"/>
  <c r="N234" i="1"/>
  <c r="M234" i="1"/>
  <c r="N233" i="1"/>
  <c r="M233" i="1"/>
  <c r="P232" i="1"/>
  <c r="N232" i="1"/>
  <c r="M232" i="1"/>
  <c r="D130" i="3" l="1"/>
  <c r="G129" i="5"/>
  <c r="O232" i="1"/>
  <c r="D130" i="5"/>
  <c r="D128" i="3"/>
  <c r="D122" i="3"/>
  <c r="O234" i="1"/>
  <c r="D127" i="3"/>
  <c r="G131" i="5"/>
  <c r="G132" i="5"/>
  <c r="D132" i="5"/>
  <c r="D131" i="3"/>
  <c r="D126" i="3"/>
  <c r="D125" i="3"/>
  <c r="O242" i="1"/>
  <c r="D123" i="3"/>
  <c r="D121" i="3"/>
  <c r="H231" i="1"/>
  <c r="H230" i="1"/>
  <c r="J231" i="1"/>
  <c r="J230" i="1"/>
  <c r="F118" i="5"/>
  <c r="E118" i="5"/>
  <c r="C118" i="5"/>
  <c r="B118" i="5"/>
  <c r="A118" i="5"/>
  <c r="F118" i="3"/>
  <c r="E118" i="3"/>
  <c r="C118" i="3"/>
  <c r="B118" i="3"/>
  <c r="A118" i="3"/>
  <c r="N231" i="1"/>
  <c r="M231" i="1"/>
  <c r="L231" i="1"/>
  <c r="G118" i="3" s="1"/>
  <c r="P230" i="1"/>
  <c r="N230" i="1"/>
  <c r="M230" i="1"/>
  <c r="L230" i="1"/>
  <c r="O230" i="1" s="1"/>
  <c r="C117" i="3"/>
  <c r="F117" i="3"/>
  <c r="H229" i="1"/>
  <c r="H228" i="1"/>
  <c r="F117" i="5"/>
  <c r="E117" i="5"/>
  <c r="C117" i="5"/>
  <c r="B117" i="5"/>
  <c r="A117" i="5"/>
  <c r="E117" i="3"/>
  <c r="B117" i="3"/>
  <c r="A117" i="3"/>
  <c r="J229" i="1"/>
  <c r="J228" i="1"/>
  <c r="N229" i="1"/>
  <c r="M229" i="1"/>
  <c r="L229" i="1"/>
  <c r="G117" i="3" s="1"/>
  <c r="P228" i="1"/>
  <c r="N228" i="1"/>
  <c r="M228" i="1"/>
  <c r="L228" i="1"/>
  <c r="D117" i="3" s="1"/>
  <c r="H227" i="1"/>
  <c r="H226" i="1"/>
  <c r="H225" i="1"/>
  <c r="H224" i="1"/>
  <c r="F116" i="5"/>
  <c r="F115" i="5"/>
  <c r="E116" i="5"/>
  <c r="E115" i="5"/>
  <c r="C116" i="5"/>
  <c r="C115" i="5"/>
  <c r="B116" i="5"/>
  <c r="B115" i="5"/>
  <c r="A116" i="5"/>
  <c r="A115" i="5"/>
  <c r="F116" i="3"/>
  <c r="F115" i="3"/>
  <c r="E116" i="3"/>
  <c r="E115" i="3"/>
  <c r="C116" i="3"/>
  <c r="C115" i="3"/>
  <c r="B116" i="3"/>
  <c r="B115" i="3"/>
  <c r="A116" i="3"/>
  <c r="A115" i="3"/>
  <c r="N227" i="1"/>
  <c r="M227" i="1"/>
  <c r="L227" i="1"/>
  <c r="G116" i="3" s="1"/>
  <c r="P226" i="1"/>
  <c r="N226" i="1"/>
  <c r="M226" i="1"/>
  <c r="L226" i="1"/>
  <c r="O226" i="1" s="1"/>
  <c r="N225" i="1"/>
  <c r="M225" i="1"/>
  <c r="L225" i="1"/>
  <c r="G115" i="3" s="1"/>
  <c r="P224" i="1"/>
  <c r="M224" i="1"/>
  <c r="L224" i="1"/>
  <c r="O224" i="1" s="1"/>
  <c r="F114" i="5"/>
  <c r="E114" i="5"/>
  <c r="C114" i="5"/>
  <c r="B114" i="5"/>
  <c r="A114" i="5"/>
  <c r="F114" i="3"/>
  <c r="E114" i="3"/>
  <c r="C114" i="3"/>
  <c r="B114" i="3"/>
  <c r="A114" i="3"/>
  <c r="H223" i="1"/>
  <c r="H222" i="1"/>
  <c r="N223" i="1"/>
  <c r="M223" i="1"/>
  <c r="L223" i="1"/>
  <c r="G114" i="3" s="1"/>
  <c r="P222" i="1"/>
  <c r="N222" i="1"/>
  <c r="M222" i="1"/>
  <c r="L222" i="1"/>
  <c r="O222" i="1" s="1"/>
  <c r="D115" i="3" l="1"/>
  <c r="D116" i="3"/>
  <c r="D118" i="3"/>
  <c r="O228" i="1"/>
  <c r="D114" i="3"/>
  <c r="H221" i="1"/>
  <c r="H220" i="1"/>
  <c r="F113" i="5"/>
  <c r="E113" i="5"/>
  <c r="C113" i="5"/>
  <c r="B113" i="5"/>
  <c r="A113" i="5"/>
  <c r="F113" i="3"/>
  <c r="E113" i="3"/>
  <c r="C113" i="3"/>
  <c r="B113" i="3"/>
  <c r="A113" i="3"/>
  <c r="J220" i="1"/>
  <c r="N221" i="1"/>
  <c r="M221" i="1"/>
  <c r="L221" i="1"/>
  <c r="G113" i="3" s="1"/>
  <c r="P220" i="1"/>
  <c r="M220" i="1"/>
  <c r="L220" i="1"/>
  <c r="O220" i="1" s="1"/>
  <c r="H219" i="1"/>
  <c r="H218" i="1"/>
  <c r="F112" i="5"/>
  <c r="E112" i="5"/>
  <c r="C112" i="5"/>
  <c r="B112" i="5"/>
  <c r="A112" i="5"/>
  <c r="G112" i="3"/>
  <c r="F112" i="3"/>
  <c r="E112" i="3"/>
  <c r="C112" i="3"/>
  <c r="B112" i="3"/>
  <c r="A112" i="3"/>
  <c r="N219" i="1"/>
  <c r="M219" i="1"/>
  <c r="L219" i="1"/>
  <c r="P218" i="1"/>
  <c r="N218" i="1"/>
  <c r="M218" i="1"/>
  <c r="L218" i="1"/>
  <c r="O218" i="1" s="1"/>
  <c r="H217" i="1"/>
  <c r="H216" i="1"/>
  <c r="H215" i="1"/>
  <c r="H214" i="1"/>
  <c r="J216" i="1"/>
  <c r="J215" i="1"/>
  <c r="N217" i="1"/>
  <c r="M217" i="1"/>
  <c r="L217" i="1"/>
  <c r="G111" i="3" s="1"/>
  <c r="P216" i="1"/>
  <c r="N216" i="1"/>
  <c r="M216" i="1"/>
  <c r="L216" i="1"/>
  <c r="D111" i="3" s="1"/>
  <c r="N215" i="1"/>
  <c r="M215" i="1"/>
  <c r="L215" i="1"/>
  <c r="G110" i="3" s="1"/>
  <c r="P214" i="1"/>
  <c r="N214" i="1"/>
  <c r="M214" i="1"/>
  <c r="L214" i="1"/>
  <c r="D110" i="3" s="1"/>
  <c r="F111" i="5"/>
  <c r="F110" i="5"/>
  <c r="E111" i="5"/>
  <c r="E110" i="5"/>
  <c r="C111" i="5"/>
  <c r="C110" i="5"/>
  <c r="B111" i="5"/>
  <c r="B110" i="5"/>
  <c r="A111" i="5"/>
  <c r="A110" i="5"/>
  <c r="F111" i="3"/>
  <c r="F110" i="3"/>
  <c r="E111" i="3"/>
  <c r="E110" i="3"/>
  <c r="C111" i="3"/>
  <c r="C110" i="3"/>
  <c r="B111" i="3"/>
  <c r="B110" i="3"/>
  <c r="A111" i="3"/>
  <c r="A110" i="3"/>
  <c r="F109" i="5"/>
  <c r="E109" i="5"/>
  <c r="C109" i="5"/>
  <c r="B109" i="5"/>
  <c r="A109" i="5"/>
  <c r="F109" i="3"/>
  <c r="E109" i="3"/>
  <c r="C109" i="3"/>
  <c r="B109" i="3"/>
  <c r="A109" i="3"/>
  <c r="H213" i="1"/>
  <c r="O216" i="1" l="1"/>
  <c r="D113" i="3"/>
  <c r="D112" i="3"/>
  <c r="O214" i="1"/>
  <c r="H212" i="1"/>
  <c r="N213" i="1"/>
  <c r="M213" i="1"/>
  <c r="L213" i="1"/>
  <c r="G109" i="3" s="1"/>
  <c r="P212" i="1"/>
  <c r="N212" i="1"/>
  <c r="M212" i="1"/>
  <c r="L212" i="1"/>
  <c r="A23" i="5"/>
  <c r="A22" i="5"/>
  <c r="A21" i="5"/>
  <c r="A16" i="5"/>
  <c r="A13" i="5"/>
  <c r="A11" i="5"/>
  <c r="A10" i="5"/>
  <c r="A9" i="5"/>
  <c r="A8" i="5"/>
  <c r="A7" i="5"/>
  <c r="A6" i="5"/>
  <c r="A5" i="5"/>
  <c r="A4" i="5"/>
  <c r="A23" i="3"/>
  <c r="A22" i="3"/>
  <c r="A21" i="3"/>
  <c r="A17" i="3"/>
  <c r="A16" i="3"/>
  <c r="A13" i="3"/>
  <c r="A12" i="3"/>
  <c r="A11" i="3"/>
  <c r="A10" i="3"/>
  <c r="A9" i="3"/>
  <c r="A8" i="3"/>
  <c r="A7" i="3"/>
  <c r="A6" i="3"/>
  <c r="A5" i="3"/>
  <c r="A4" i="3"/>
  <c r="H211" i="1"/>
  <c r="H210" i="1"/>
  <c r="F108" i="5"/>
  <c r="E108" i="5"/>
  <c r="C108" i="5"/>
  <c r="B108" i="5"/>
  <c r="A108" i="5"/>
  <c r="F108" i="3"/>
  <c r="E108" i="3"/>
  <c r="C108" i="3"/>
  <c r="B108" i="3"/>
  <c r="A108" i="3"/>
  <c r="N211" i="1"/>
  <c r="M211" i="1"/>
  <c r="L211" i="1"/>
  <c r="G108" i="3" s="1"/>
  <c r="P210" i="1"/>
  <c r="N210" i="1"/>
  <c r="M210" i="1"/>
  <c r="L210" i="1"/>
  <c r="O210" i="1" s="1"/>
  <c r="H209" i="1"/>
  <c r="H208" i="1"/>
  <c r="H207" i="1"/>
  <c r="J206" i="1"/>
  <c r="H206" i="1"/>
  <c r="F107" i="5"/>
  <c r="E107" i="5"/>
  <c r="C107" i="5"/>
  <c r="B107" i="5"/>
  <c r="A107" i="5"/>
  <c r="F106" i="5"/>
  <c r="E106" i="5"/>
  <c r="C106" i="5"/>
  <c r="B106" i="5"/>
  <c r="A106" i="5"/>
  <c r="F107" i="3"/>
  <c r="E107" i="3"/>
  <c r="C107" i="3"/>
  <c r="B107" i="3"/>
  <c r="A107" i="3"/>
  <c r="F106" i="3"/>
  <c r="E106" i="3"/>
  <c r="C106" i="3"/>
  <c r="B106" i="3"/>
  <c r="A106" i="3"/>
  <c r="N209" i="1"/>
  <c r="M209" i="1"/>
  <c r="L209" i="1"/>
  <c r="G107" i="3" s="1"/>
  <c r="P208" i="1"/>
  <c r="N208" i="1"/>
  <c r="M208" i="1"/>
  <c r="L208" i="1"/>
  <c r="O208" i="1" s="1"/>
  <c r="N207" i="1"/>
  <c r="M207" i="1"/>
  <c r="L207" i="1"/>
  <c r="G106" i="3" s="1"/>
  <c r="P206" i="1"/>
  <c r="N206" i="1"/>
  <c r="M206" i="1"/>
  <c r="L206" i="1"/>
  <c r="D106" i="3" s="1"/>
  <c r="H205" i="1"/>
  <c r="H204" i="1"/>
  <c r="O212" i="1" l="1"/>
  <c r="D109" i="3"/>
  <c r="D108" i="3"/>
  <c r="O206" i="1"/>
  <c r="D107" i="3"/>
  <c r="F105" i="5"/>
  <c r="E105" i="5"/>
  <c r="C105" i="5"/>
  <c r="B105" i="5"/>
  <c r="A105" i="5"/>
  <c r="F105" i="3"/>
  <c r="E105" i="3"/>
  <c r="C105" i="3"/>
  <c r="B105" i="3"/>
  <c r="A105" i="3"/>
  <c r="N205" i="1"/>
  <c r="M205" i="1"/>
  <c r="L205" i="1"/>
  <c r="G105" i="3" s="1"/>
  <c r="P204" i="1"/>
  <c r="N204" i="1"/>
  <c r="M204" i="1"/>
  <c r="L204" i="1"/>
  <c r="O204" i="1" s="1"/>
  <c r="H203" i="1"/>
  <c r="L203" i="1"/>
  <c r="G104" i="3" s="1"/>
  <c r="L202" i="1"/>
  <c r="D104" i="3" s="1"/>
  <c r="H202" i="1"/>
  <c r="J203" i="1"/>
  <c r="F104" i="5"/>
  <c r="E104" i="5"/>
  <c r="C104" i="5"/>
  <c r="B104" i="5"/>
  <c r="A104" i="5"/>
  <c r="F104" i="3"/>
  <c r="E104" i="3"/>
  <c r="C104" i="3"/>
  <c r="B104" i="3"/>
  <c r="A104" i="3"/>
  <c r="N203" i="1"/>
  <c r="M203" i="1"/>
  <c r="P202" i="1"/>
  <c r="O202" i="1"/>
  <c r="M202" i="1"/>
  <c r="H201" i="1"/>
  <c r="H200" i="1"/>
  <c r="F103" i="5"/>
  <c r="E103" i="5"/>
  <c r="C103" i="5"/>
  <c r="B103" i="5"/>
  <c r="A103" i="5"/>
  <c r="F103" i="3"/>
  <c r="E103" i="3"/>
  <c r="D103" i="3"/>
  <c r="C103" i="3"/>
  <c r="B103" i="3"/>
  <c r="A103" i="3"/>
  <c r="N201" i="1"/>
  <c r="M201" i="1"/>
  <c r="L201" i="1"/>
  <c r="G103" i="3" s="1"/>
  <c r="P200" i="1"/>
  <c r="M200" i="1"/>
  <c r="L200" i="1"/>
  <c r="O200" i="1" s="1"/>
  <c r="H199" i="1"/>
  <c r="H198" i="1"/>
  <c r="H197" i="1"/>
  <c r="H196" i="1"/>
  <c r="F102" i="5"/>
  <c r="E102" i="5"/>
  <c r="C102" i="5"/>
  <c r="B102" i="5"/>
  <c r="A102" i="5"/>
  <c r="F101" i="5"/>
  <c r="E101" i="5"/>
  <c r="C101" i="5"/>
  <c r="B101" i="5"/>
  <c r="A101" i="5"/>
  <c r="F102" i="3"/>
  <c r="E102" i="3"/>
  <c r="C102" i="3"/>
  <c r="B102" i="3"/>
  <c r="A102" i="3"/>
  <c r="F101" i="3"/>
  <c r="E101" i="3"/>
  <c r="C101" i="3"/>
  <c r="B101" i="3"/>
  <c r="A101" i="3"/>
  <c r="J198" i="1"/>
  <c r="J197" i="1"/>
  <c r="J196" i="1"/>
  <c r="N199" i="1"/>
  <c r="M199" i="1"/>
  <c r="L199" i="1"/>
  <c r="G102" i="3" s="1"/>
  <c r="P198" i="1"/>
  <c r="N198" i="1"/>
  <c r="M198" i="1"/>
  <c r="L198" i="1"/>
  <c r="O198" i="1" s="1"/>
  <c r="N197" i="1"/>
  <c r="M197" i="1"/>
  <c r="L197" i="1"/>
  <c r="G101" i="3" s="1"/>
  <c r="P196" i="1"/>
  <c r="N196" i="1"/>
  <c r="M196" i="1"/>
  <c r="L196" i="1"/>
  <c r="O196" i="1" s="1"/>
  <c r="H195" i="1"/>
  <c r="H194" i="1"/>
  <c r="F100" i="5"/>
  <c r="E100" i="5"/>
  <c r="C100" i="5"/>
  <c r="B100" i="5"/>
  <c r="A100" i="5"/>
  <c r="F100" i="3"/>
  <c r="E100" i="3"/>
  <c r="C100" i="3"/>
  <c r="B100" i="3"/>
  <c r="A100" i="3"/>
  <c r="N195" i="1"/>
  <c r="M195" i="1"/>
  <c r="L195" i="1"/>
  <c r="G100" i="3" s="1"/>
  <c r="P194" i="1"/>
  <c r="N194" i="1"/>
  <c r="M194" i="1"/>
  <c r="L194" i="1"/>
  <c r="O194" i="1" s="1"/>
  <c r="F99" i="3"/>
  <c r="F99" i="5"/>
  <c r="E99" i="5"/>
  <c r="C99" i="5"/>
  <c r="B99" i="5"/>
  <c r="A99" i="5"/>
  <c r="G99" i="3"/>
  <c r="E99" i="3"/>
  <c r="C99" i="3"/>
  <c r="B99" i="3"/>
  <c r="A99" i="3"/>
  <c r="H193" i="1"/>
  <c r="J192" i="1"/>
  <c r="H192" i="1"/>
  <c r="N193" i="1"/>
  <c r="M193" i="1"/>
  <c r="L193" i="1"/>
  <c r="P192" i="1"/>
  <c r="N192" i="1"/>
  <c r="M192" i="1"/>
  <c r="L192" i="1"/>
  <c r="O192" i="1" s="1"/>
  <c r="P188" i="1"/>
  <c r="P186" i="1"/>
  <c r="P190" i="1"/>
  <c r="H191" i="1"/>
  <c r="H190" i="1"/>
  <c r="F98" i="5"/>
  <c r="E98" i="5"/>
  <c r="C98" i="5"/>
  <c r="B98" i="5"/>
  <c r="A98" i="5"/>
  <c r="F98" i="3"/>
  <c r="E98" i="3"/>
  <c r="C98" i="3"/>
  <c r="B98" i="3"/>
  <c r="A98" i="3"/>
  <c r="N191" i="1"/>
  <c r="M191" i="1"/>
  <c r="L191" i="1"/>
  <c r="G98" i="3" s="1"/>
  <c r="N190" i="1"/>
  <c r="M190" i="1"/>
  <c r="L190" i="1"/>
  <c r="O190" i="1" s="1"/>
  <c r="H189" i="1"/>
  <c r="N189" i="1"/>
  <c r="M189" i="1"/>
  <c r="L189" i="1"/>
  <c r="G97" i="3" s="1"/>
  <c r="N188" i="1"/>
  <c r="M188" i="1"/>
  <c r="L188" i="1"/>
  <c r="O188" i="1" s="1"/>
  <c r="H188" i="1"/>
  <c r="H187" i="1"/>
  <c r="H186" i="1"/>
  <c r="H185" i="1"/>
  <c r="H184" i="1"/>
  <c r="N187" i="1"/>
  <c r="M187" i="1"/>
  <c r="L187" i="1"/>
  <c r="G96" i="3" s="1"/>
  <c r="N186" i="1"/>
  <c r="M186" i="1"/>
  <c r="L186" i="1"/>
  <c r="O186" i="1" s="1"/>
  <c r="N184" i="1"/>
  <c r="N185" i="1"/>
  <c r="M185" i="1"/>
  <c r="L185" i="1"/>
  <c r="G95" i="3" s="1"/>
  <c r="M184" i="1"/>
  <c r="L184" i="1"/>
  <c r="O184" i="1" s="1"/>
  <c r="H183" i="1"/>
  <c r="N183" i="1"/>
  <c r="M183" i="1"/>
  <c r="L183" i="1"/>
  <c r="G94" i="3" s="1"/>
  <c r="M182" i="1"/>
  <c r="L182" i="1"/>
  <c r="O182" i="1" s="1"/>
  <c r="J183" i="1"/>
  <c r="J182" i="1"/>
  <c r="H182" i="1"/>
  <c r="F97" i="5"/>
  <c r="E97" i="5"/>
  <c r="C97" i="5"/>
  <c r="B97" i="5"/>
  <c r="F96" i="5"/>
  <c r="E96" i="5"/>
  <c r="C96" i="5"/>
  <c r="B96" i="5"/>
  <c r="F95" i="5"/>
  <c r="E95" i="5"/>
  <c r="C95" i="5"/>
  <c r="B95" i="5"/>
  <c r="F94" i="5"/>
  <c r="E94" i="5"/>
  <c r="C94" i="5"/>
  <c r="B94" i="5"/>
  <c r="A97" i="5"/>
  <c r="A96" i="5"/>
  <c r="A95" i="5"/>
  <c r="A94" i="5"/>
  <c r="F97" i="3"/>
  <c r="E97" i="3"/>
  <c r="C97" i="3"/>
  <c r="B97" i="3"/>
  <c r="A97" i="3"/>
  <c r="F96" i="3"/>
  <c r="E96" i="3"/>
  <c r="C96" i="3"/>
  <c r="B96" i="3"/>
  <c r="A96" i="3"/>
  <c r="F95" i="3"/>
  <c r="E95" i="3"/>
  <c r="C95" i="3"/>
  <c r="B95" i="3"/>
  <c r="A95" i="3"/>
  <c r="F94" i="3"/>
  <c r="E94" i="3"/>
  <c r="C94" i="3"/>
  <c r="B94" i="3"/>
  <c r="A94" i="3"/>
  <c r="H181" i="1"/>
  <c r="H180" i="1"/>
  <c r="F93" i="5"/>
  <c r="E93" i="5"/>
  <c r="C93" i="5"/>
  <c r="B93" i="5"/>
  <c r="A93" i="5"/>
  <c r="F93" i="3"/>
  <c r="E93" i="3"/>
  <c r="C93" i="3"/>
  <c r="B93" i="3"/>
  <c r="A93" i="3"/>
  <c r="N181" i="1"/>
  <c r="M181" i="1"/>
  <c r="L181" i="1"/>
  <c r="G93" i="3" s="1"/>
  <c r="N180" i="1"/>
  <c r="M180" i="1"/>
  <c r="L180" i="1"/>
  <c r="O180" i="1" s="1"/>
  <c r="H179" i="1"/>
  <c r="H178" i="1"/>
  <c r="F92" i="5"/>
  <c r="E92" i="5"/>
  <c r="C92" i="5"/>
  <c r="B92" i="5"/>
  <c r="A92" i="5"/>
  <c r="F92" i="3"/>
  <c r="E92" i="3"/>
  <c r="C92" i="3"/>
  <c r="B92" i="3"/>
  <c r="A92" i="3"/>
  <c r="N179" i="1"/>
  <c r="M179" i="1"/>
  <c r="L179" i="1"/>
  <c r="G92" i="3" s="1"/>
  <c r="N178" i="1"/>
  <c r="M178" i="1"/>
  <c r="L178" i="1"/>
  <c r="O178" i="1" s="1"/>
  <c r="F91" i="5"/>
  <c r="E91" i="5"/>
  <c r="C91" i="5"/>
  <c r="B91" i="5"/>
  <c r="F90" i="5"/>
  <c r="E90" i="5"/>
  <c r="C90" i="5"/>
  <c r="B90" i="5"/>
  <c r="A91" i="5"/>
  <c r="A90" i="5"/>
  <c r="G91" i="3"/>
  <c r="F91" i="3"/>
  <c r="E91" i="3"/>
  <c r="C91" i="3"/>
  <c r="B91" i="3"/>
  <c r="F90" i="3"/>
  <c r="E90" i="3"/>
  <c r="C90" i="3"/>
  <c r="B90" i="3"/>
  <c r="A91" i="3"/>
  <c r="A90" i="3"/>
  <c r="L177" i="1"/>
  <c r="L176" i="1"/>
  <c r="O176" i="1" s="1"/>
  <c r="H177" i="1"/>
  <c r="H176" i="1"/>
  <c r="N177" i="1"/>
  <c r="M177" i="1"/>
  <c r="N176" i="1"/>
  <c r="M176" i="1"/>
  <c r="H175" i="1"/>
  <c r="H174" i="1"/>
  <c r="N175" i="1"/>
  <c r="M175" i="1"/>
  <c r="L175" i="1"/>
  <c r="G90" i="3" s="1"/>
  <c r="N174" i="1"/>
  <c r="M174" i="1"/>
  <c r="L174" i="1"/>
  <c r="O174" i="1" s="1"/>
  <c r="D92" i="3" l="1"/>
  <c r="D94" i="3"/>
  <c r="D96" i="3"/>
  <c r="D101" i="3"/>
  <c r="D93" i="3"/>
  <c r="D102" i="3"/>
  <c r="D99" i="3"/>
  <c r="D105" i="3"/>
  <c r="D100" i="3"/>
  <c r="D98" i="3"/>
  <c r="D97" i="3"/>
  <c r="D95" i="3"/>
  <c r="D94" i="5"/>
  <c r="D91" i="3"/>
  <c r="D90" i="3"/>
  <c r="F89" i="5"/>
  <c r="E89" i="5"/>
  <c r="C89" i="5"/>
  <c r="B89" i="5"/>
  <c r="A89" i="5"/>
  <c r="F89" i="3"/>
  <c r="E89" i="3"/>
  <c r="C89" i="3"/>
  <c r="B89" i="3"/>
  <c r="A89" i="3"/>
  <c r="H173" i="1"/>
  <c r="H172" i="1"/>
  <c r="N173" i="1"/>
  <c r="M173" i="1"/>
  <c r="L173" i="1"/>
  <c r="G89" i="3" s="1"/>
  <c r="N172" i="1"/>
  <c r="M172" i="1"/>
  <c r="L172" i="1"/>
  <c r="O172" i="1" s="1"/>
  <c r="D89" i="3" l="1"/>
  <c r="F88" i="3"/>
  <c r="H171" i="1"/>
  <c r="H170" i="1"/>
  <c r="J170" i="1"/>
  <c r="F88" i="5"/>
  <c r="E88" i="5"/>
  <c r="C88" i="5"/>
  <c r="B88" i="5"/>
  <c r="A88" i="5"/>
  <c r="G88" i="3"/>
  <c r="E88" i="3"/>
  <c r="C88" i="3"/>
  <c r="B88" i="3"/>
  <c r="A88" i="3"/>
  <c r="N171" i="1"/>
  <c r="M171" i="1"/>
  <c r="L171" i="1"/>
  <c r="N170" i="1"/>
  <c r="M170" i="1"/>
  <c r="L170" i="1"/>
  <c r="O170" i="1" s="1"/>
  <c r="H169" i="1"/>
  <c r="H168" i="1"/>
  <c r="J168" i="1"/>
  <c r="F87" i="5"/>
  <c r="E87" i="5"/>
  <c r="C87" i="5"/>
  <c r="B87" i="5"/>
  <c r="A87" i="5"/>
  <c r="G87" i="3"/>
  <c r="F87" i="3"/>
  <c r="E87" i="3"/>
  <c r="C87" i="3"/>
  <c r="B87" i="3"/>
  <c r="A87" i="3"/>
  <c r="N169" i="1"/>
  <c r="M169" i="1"/>
  <c r="L169" i="1"/>
  <c r="N168" i="1"/>
  <c r="M168" i="1"/>
  <c r="L168" i="1"/>
  <c r="O168" i="1" s="1"/>
  <c r="N166" i="1"/>
  <c r="F86" i="5"/>
  <c r="E86" i="5"/>
  <c r="C86" i="5"/>
  <c r="B86" i="5"/>
  <c r="F86" i="3"/>
  <c r="E86" i="3"/>
  <c r="C86" i="3"/>
  <c r="B86" i="3"/>
  <c r="J166" i="1"/>
  <c r="H167" i="1"/>
  <c r="N92" i="1"/>
  <c r="H166" i="1"/>
  <c r="F85" i="5"/>
  <c r="E85" i="5"/>
  <c r="C85" i="5"/>
  <c r="B85" i="5"/>
  <c r="A86" i="5"/>
  <c r="A85" i="5"/>
  <c r="A86" i="3"/>
  <c r="F85" i="3"/>
  <c r="E85" i="3"/>
  <c r="C85" i="3"/>
  <c r="B85" i="3"/>
  <c r="A85" i="3"/>
  <c r="H165" i="1"/>
  <c r="H164" i="1"/>
  <c r="N167" i="1"/>
  <c r="M167" i="1"/>
  <c r="L167" i="1"/>
  <c r="G86" i="3" s="1"/>
  <c r="M166" i="1"/>
  <c r="L166" i="1"/>
  <c r="O166" i="1" s="1"/>
  <c r="N165" i="1"/>
  <c r="M165" i="1"/>
  <c r="L165" i="1"/>
  <c r="G85" i="3" s="1"/>
  <c r="M164" i="1"/>
  <c r="L164" i="1"/>
  <c r="O164" i="1" s="1"/>
  <c r="D87" i="3" l="1"/>
  <c r="D88" i="3"/>
  <c r="D86" i="3"/>
  <c r="D85" i="3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3" i="5"/>
  <c r="D92" i="5"/>
  <c r="D91" i="5"/>
  <c r="D90" i="5"/>
  <c r="D89" i="5"/>
  <c r="D88" i="5"/>
  <c r="D87" i="5"/>
  <c r="D86" i="5"/>
  <c r="D85" i="5"/>
  <c r="F84" i="5"/>
  <c r="E84" i="5"/>
  <c r="C84" i="5"/>
  <c r="B84" i="5"/>
  <c r="A84" i="5"/>
  <c r="F84" i="3"/>
  <c r="E84" i="3"/>
  <c r="C84" i="3"/>
  <c r="B84" i="3"/>
  <c r="A84" i="3"/>
  <c r="H163" i="1"/>
  <c r="H162" i="1"/>
  <c r="N163" i="1"/>
  <c r="M163" i="1"/>
  <c r="L163" i="1"/>
  <c r="G84" i="3" s="1"/>
  <c r="M162" i="1"/>
  <c r="L162" i="1"/>
  <c r="O162" i="1" s="1"/>
  <c r="G84" i="5" l="1"/>
  <c r="D84" i="5"/>
  <c r="D84" i="3"/>
  <c r="F83" i="5"/>
  <c r="E83" i="5"/>
  <c r="C83" i="5"/>
  <c r="B83" i="5"/>
  <c r="A83" i="5"/>
  <c r="F83" i="3"/>
  <c r="E83" i="3"/>
  <c r="C83" i="3"/>
  <c r="B83" i="3"/>
  <c r="A83" i="3"/>
  <c r="D83" i="5" l="1"/>
  <c r="G83" i="5"/>
  <c r="J161" i="1"/>
  <c r="H161" i="1"/>
  <c r="H160" i="1"/>
  <c r="N161" i="1"/>
  <c r="M161" i="1"/>
  <c r="L161" i="1"/>
  <c r="G83" i="3" s="1"/>
  <c r="M160" i="1"/>
  <c r="L160" i="1"/>
  <c r="O160" i="1" l="1"/>
  <c r="D83" i="3"/>
  <c r="F82" i="5"/>
  <c r="E82" i="5"/>
  <c r="C82" i="5"/>
  <c r="B82" i="5"/>
  <c r="F82" i="3"/>
  <c r="E82" i="3"/>
  <c r="C82" i="3"/>
  <c r="B82" i="3"/>
  <c r="H159" i="1"/>
  <c r="H158" i="1"/>
  <c r="A82" i="5"/>
  <c r="A82" i="3"/>
  <c r="H157" i="1"/>
  <c r="H156" i="1"/>
  <c r="N159" i="1"/>
  <c r="M159" i="1"/>
  <c r="L159" i="1"/>
  <c r="G82" i="3" s="1"/>
  <c r="M158" i="1"/>
  <c r="L158" i="1"/>
  <c r="O158" i="1" s="1"/>
  <c r="D82" i="3" l="1"/>
  <c r="B81" i="5"/>
  <c r="B80" i="5"/>
  <c r="H155" i="1"/>
  <c r="H154" i="1"/>
  <c r="F81" i="5"/>
  <c r="F80" i="5"/>
  <c r="E81" i="5"/>
  <c r="E80" i="5"/>
  <c r="C81" i="5"/>
  <c r="C80" i="5"/>
  <c r="A81" i="5"/>
  <c r="A80" i="5"/>
  <c r="F81" i="3"/>
  <c r="F80" i="3"/>
  <c r="E81" i="3"/>
  <c r="E80" i="3"/>
  <c r="C81" i="3"/>
  <c r="C80" i="3"/>
  <c r="B81" i="3"/>
  <c r="B80" i="3"/>
  <c r="A81" i="3"/>
  <c r="A80" i="3"/>
  <c r="J155" i="1"/>
  <c r="N157" i="1"/>
  <c r="M157" i="1"/>
  <c r="L157" i="1"/>
  <c r="G81" i="3" s="1"/>
  <c r="M156" i="1"/>
  <c r="L156" i="1"/>
  <c r="O156" i="1" s="1"/>
  <c r="N155" i="1"/>
  <c r="M155" i="1"/>
  <c r="L155" i="1"/>
  <c r="G80" i="3" s="1"/>
  <c r="M154" i="1"/>
  <c r="L154" i="1"/>
  <c r="O154" i="1" s="1"/>
  <c r="F79" i="5"/>
  <c r="E79" i="5"/>
  <c r="C79" i="5"/>
  <c r="B79" i="5"/>
  <c r="A79" i="5"/>
  <c r="F79" i="3"/>
  <c r="E79" i="3"/>
  <c r="C79" i="3"/>
  <c r="B79" i="3"/>
  <c r="A79" i="3"/>
  <c r="H153" i="1"/>
  <c r="N153" i="1"/>
  <c r="M153" i="1"/>
  <c r="L153" i="1"/>
  <c r="G79" i="3" s="1"/>
  <c r="M152" i="1"/>
  <c r="L152" i="1"/>
  <c r="O152" i="1" s="1"/>
  <c r="H152" i="1"/>
  <c r="D80" i="3" l="1"/>
  <c r="D81" i="3"/>
  <c r="D79" i="3"/>
  <c r="F78" i="5"/>
  <c r="E78" i="5"/>
  <c r="C78" i="5"/>
  <c r="B78" i="5"/>
  <c r="A78" i="5"/>
  <c r="F78" i="3"/>
  <c r="E78" i="3"/>
  <c r="C78" i="3"/>
  <c r="B78" i="3"/>
  <c r="A78" i="3"/>
  <c r="J151" i="1"/>
  <c r="H151" i="1"/>
  <c r="H150" i="1"/>
  <c r="N151" i="1"/>
  <c r="M151" i="1"/>
  <c r="L151" i="1"/>
  <c r="G78" i="3" s="1"/>
  <c r="M150" i="1"/>
  <c r="L150" i="1"/>
  <c r="O150" i="1" s="1"/>
  <c r="D78" i="3" l="1"/>
  <c r="F77" i="5"/>
  <c r="E77" i="5"/>
  <c r="C77" i="5"/>
  <c r="B77" i="5"/>
  <c r="A77" i="5"/>
  <c r="F76" i="5"/>
  <c r="E76" i="5"/>
  <c r="C76" i="5"/>
  <c r="B76" i="5"/>
  <c r="A76" i="5"/>
  <c r="G77" i="3"/>
  <c r="F77" i="3"/>
  <c r="E77" i="3"/>
  <c r="C77" i="3"/>
  <c r="B77" i="3"/>
  <c r="A77" i="3"/>
  <c r="F76" i="3"/>
  <c r="E76" i="3"/>
  <c r="C76" i="3"/>
  <c r="B76" i="3"/>
  <c r="A76" i="3"/>
  <c r="N149" i="1"/>
  <c r="N147" i="1"/>
  <c r="H149" i="1"/>
  <c r="H148" i="1"/>
  <c r="H147" i="1"/>
  <c r="H146" i="1"/>
  <c r="M149" i="1"/>
  <c r="L149" i="1"/>
  <c r="M148" i="1"/>
  <c r="L148" i="1"/>
  <c r="O148" i="1" s="1"/>
  <c r="M147" i="1"/>
  <c r="L147" i="1"/>
  <c r="G76" i="3" s="1"/>
  <c r="M146" i="1"/>
  <c r="L146" i="1"/>
  <c r="O146" i="1" s="1"/>
  <c r="D76" i="3" l="1"/>
  <c r="D77" i="3"/>
  <c r="F75" i="5"/>
  <c r="E75" i="5"/>
  <c r="C75" i="5"/>
  <c r="B75" i="5"/>
  <c r="A75" i="5"/>
  <c r="F75" i="3"/>
  <c r="E75" i="3"/>
  <c r="C75" i="3"/>
  <c r="B75" i="3"/>
  <c r="A75" i="3"/>
  <c r="H145" i="1"/>
  <c r="H144" i="1"/>
  <c r="N145" i="1"/>
  <c r="M145" i="1"/>
  <c r="L145" i="1"/>
  <c r="G75" i="3" s="1"/>
  <c r="M144" i="1"/>
  <c r="L144" i="1"/>
  <c r="O144" i="1" s="1"/>
  <c r="D75" i="3" l="1"/>
  <c r="F74" i="5"/>
  <c r="E74" i="5"/>
  <c r="C74" i="5"/>
  <c r="B74" i="5"/>
  <c r="A74" i="5"/>
  <c r="F74" i="3"/>
  <c r="E74" i="3"/>
  <c r="C74" i="3"/>
  <c r="B74" i="3"/>
  <c r="A74" i="3"/>
  <c r="H143" i="1"/>
  <c r="N143" i="1"/>
  <c r="M143" i="1"/>
  <c r="L143" i="1"/>
  <c r="G74" i="3" s="1"/>
  <c r="M142" i="1"/>
  <c r="L142" i="1"/>
  <c r="D74" i="3" s="1"/>
  <c r="H142" i="1"/>
  <c r="O142" i="1" l="1"/>
  <c r="F73" i="5"/>
  <c r="E73" i="5"/>
  <c r="C73" i="5"/>
  <c r="B73" i="5"/>
  <c r="A73" i="5"/>
  <c r="F73" i="3"/>
  <c r="E73" i="3"/>
  <c r="C73" i="3"/>
  <c r="B73" i="3"/>
  <c r="A73" i="3"/>
  <c r="J141" i="1"/>
  <c r="H141" i="1"/>
  <c r="N141" i="1"/>
  <c r="M141" i="1"/>
  <c r="L141" i="1"/>
  <c r="G73" i="3" s="1"/>
  <c r="M140" i="1"/>
  <c r="L140" i="1"/>
  <c r="H140" i="1"/>
  <c r="D73" i="3" l="1"/>
  <c r="O140" i="1"/>
  <c r="H139" i="1"/>
  <c r="N139" i="1"/>
  <c r="M139" i="1"/>
  <c r="L139" i="1"/>
  <c r="G72" i="3" s="1"/>
  <c r="M138" i="1"/>
  <c r="L138" i="1"/>
  <c r="D72" i="3" s="1"/>
  <c r="H138" i="1"/>
  <c r="F72" i="5"/>
  <c r="E72" i="5"/>
  <c r="C72" i="5"/>
  <c r="B72" i="5"/>
  <c r="A72" i="5"/>
  <c r="F71" i="5"/>
  <c r="E71" i="5"/>
  <c r="C71" i="5"/>
  <c r="B71" i="5"/>
  <c r="A71" i="5"/>
  <c r="F72" i="3"/>
  <c r="F71" i="3"/>
  <c r="E72" i="3"/>
  <c r="E71" i="3"/>
  <c r="C72" i="3"/>
  <c r="C71" i="3"/>
  <c r="B72" i="3"/>
  <c r="B71" i="3"/>
  <c r="A72" i="3"/>
  <c r="A71" i="3"/>
  <c r="H137" i="1"/>
  <c r="N137" i="1"/>
  <c r="M137" i="1"/>
  <c r="L137" i="1"/>
  <c r="G71" i="3" s="1"/>
  <c r="M136" i="1"/>
  <c r="L136" i="1"/>
  <c r="D71" i="3" s="1"/>
  <c r="H136" i="1"/>
  <c r="J135" i="1" l="1"/>
  <c r="J134" i="1"/>
  <c r="F70" i="5"/>
  <c r="E70" i="5"/>
  <c r="C70" i="5"/>
  <c r="B70" i="5"/>
  <c r="A70" i="5"/>
  <c r="F70" i="3"/>
  <c r="E70" i="3"/>
  <c r="C70" i="3"/>
  <c r="B70" i="3"/>
  <c r="A70" i="3"/>
  <c r="H135" i="1"/>
  <c r="H134" i="1"/>
  <c r="N135" i="1"/>
  <c r="M135" i="1"/>
  <c r="L135" i="1"/>
  <c r="G70" i="3" s="1"/>
  <c r="M134" i="1"/>
  <c r="L134" i="1"/>
  <c r="D70" i="3" s="1"/>
  <c r="F69" i="5" l="1"/>
  <c r="E69" i="5"/>
  <c r="C69" i="5"/>
  <c r="B69" i="5"/>
  <c r="A69" i="5"/>
  <c r="F69" i="3"/>
  <c r="E69" i="3"/>
  <c r="C69" i="3"/>
  <c r="B69" i="3"/>
  <c r="A69" i="3"/>
  <c r="H133" i="1"/>
  <c r="N133" i="1"/>
  <c r="M133" i="1"/>
  <c r="L133" i="1"/>
  <c r="G69" i="3" s="1"/>
  <c r="M132" i="1"/>
  <c r="L132" i="1"/>
  <c r="D69" i="3" s="1"/>
  <c r="H132" i="1"/>
  <c r="F68" i="5" l="1"/>
  <c r="E68" i="5"/>
  <c r="C68" i="5"/>
  <c r="B68" i="5"/>
  <c r="A68" i="5"/>
  <c r="F68" i="3"/>
  <c r="E68" i="3"/>
  <c r="C68" i="3"/>
  <c r="B68" i="3"/>
  <c r="A68" i="3"/>
  <c r="H131" i="1"/>
  <c r="N131" i="1"/>
  <c r="M131" i="1"/>
  <c r="L131" i="1"/>
  <c r="G68" i="3" s="1"/>
  <c r="M130" i="1"/>
  <c r="L130" i="1"/>
  <c r="D68" i="3" s="1"/>
  <c r="H130" i="1"/>
  <c r="H129" i="1" l="1"/>
  <c r="H128" i="1"/>
  <c r="H127" i="1"/>
  <c r="H126" i="1"/>
  <c r="F67" i="5"/>
  <c r="E67" i="5"/>
  <c r="C67" i="5"/>
  <c r="B67" i="5"/>
  <c r="A67" i="5"/>
  <c r="F66" i="5"/>
  <c r="E66" i="5"/>
  <c r="C66" i="5"/>
  <c r="B66" i="5"/>
  <c r="A66" i="5"/>
  <c r="F67" i="3"/>
  <c r="E67" i="3"/>
  <c r="C67" i="3"/>
  <c r="B67" i="3"/>
  <c r="A67" i="3"/>
  <c r="F66" i="3"/>
  <c r="E66" i="3"/>
  <c r="C66" i="3"/>
  <c r="B66" i="3"/>
  <c r="A66" i="3"/>
  <c r="N129" i="1"/>
  <c r="M129" i="1"/>
  <c r="L129" i="1"/>
  <c r="G67" i="3" s="1"/>
  <c r="M128" i="1"/>
  <c r="L128" i="1"/>
  <c r="D67" i="3" s="1"/>
  <c r="N127" i="1"/>
  <c r="M127" i="1"/>
  <c r="L127" i="1"/>
  <c r="G66" i="3" s="1"/>
  <c r="M126" i="1"/>
  <c r="L126" i="1"/>
  <c r="D66" i="3" s="1"/>
  <c r="F65" i="5"/>
  <c r="E65" i="5"/>
  <c r="C65" i="5"/>
  <c r="B65" i="5"/>
  <c r="A65" i="5"/>
  <c r="F65" i="3"/>
  <c r="E65" i="3"/>
  <c r="C65" i="3"/>
  <c r="B65" i="3"/>
  <c r="A65" i="3"/>
  <c r="J124" i="1"/>
  <c r="H125" i="1"/>
  <c r="H124" i="1"/>
  <c r="N125" i="1"/>
  <c r="M125" i="1"/>
  <c r="L125" i="1"/>
  <c r="G65" i="3" s="1"/>
  <c r="M124" i="1"/>
  <c r="L124" i="1"/>
  <c r="D65" i="3" s="1"/>
  <c r="H123" i="1" l="1"/>
  <c r="H122" i="1"/>
  <c r="F64" i="3"/>
  <c r="E64" i="3"/>
  <c r="C64" i="3"/>
  <c r="B64" i="3"/>
  <c r="A64" i="3"/>
  <c r="F64" i="5"/>
  <c r="E64" i="5"/>
  <c r="C64" i="5"/>
  <c r="B64" i="5"/>
  <c r="A64" i="5"/>
  <c r="N123" i="1"/>
  <c r="M123" i="1"/>
  <c r="L123" i="1"/>
  <c r="G64" i="3" s="1"/>
  <c r="M122" i="1"/>
  <c r="L122" i="1"/>
  <c r="D64" i="3" s="1"/>
  <c r="F63" i="5"/>
  <c r="E63" i="5"/>
  <c r="C63" i="5"/>
  <c r="B63" i="5"/>
  <c r="A63" i="5"/>
  <c r="F63" i="3"/>
  <c r="E63" i="3"/>
  <c r="C63" i="3"/>
  <c r="B63" i="3"/>
  <c r="A63" i="3"/>
  <c r="H121" i="1"/>
  <c r="N121" i="1"/>
  <c r="M121" i="1"/>
  <c r="L121" i="1"/>
  <c r="G63" i="3" s="1"/>
  <c r="M120" i="1"/>
  <c r="L120" i="1"/>
  <c r="D63" i="3" s="1"/>
  <c r="H120" i="1"/>
  <c r="F62" i="5" l="1"/>
  <c r="E62" i="5"/>
  <c r="C62" i="5"/>
  <c r="B62" i="5"/>
  <c r="A62" i="5"/>
  <c r="F62" i="3"/>
  <c r="E62" i="3"/>
  <c r="C62" i="3"/>
  <c r="B62" i="3"/>
  <c r="A62" i="3"/>
  <c r="H119" i="1"/>
  <c r="H118" i="1"/>
  <c r="N119" i="1"/>
  <c r="M119" i="1"/>
  <c r="L119" i="1"/>
  <c r="G62" i="3" s="1"/>
  <c r="M118" i="1"/>
  <c r="L118" i="1"/>
  <c r="D62" i="3" s="1"/>
  <c r="F61" i="5" l="1"/>
  <c r="E61" i="5"/>
  <c r="C61" i="5"/>
  <c r="B61" i="5"/>
  <c r="A61" i="5"/>
  <c r="F61" i="3"/>
  <c r="E61" i="3"/>
  <c r="C61" i="3"/>
  <c r="B61" i="3"/>
  <c r="A61" i="3"/>
  <c r="H117" i="1"/>
  <c r="H116" i="1"/>
  <c r="N117" i="1"/>
  <c r="M117" i="1"/>
  <c r="L117" i="1"/>
  <c r="G61" i="3" s="1"/>
  <c r="M116" i="1"/>
  <c r="L116" i="1"/>
  <c r="D61" i="3" s="1"/>
  <c r="H115" i="1" l="1"/>
  <c r="H114" i="1"/>
  <c r="F60" i="5"/>
  <c r="E60" i="5"/>
  <c r="C60" i="5"/>
  <c r="B60" i="5"/>
  <c r="A60" i="5"/>
  <c r="F60" i="3"/>
  <c r="E60" i="3"/>
  <c r="C60" i="3"/>
  <c r="B60" i="3"/>
  <c r="A60" i="3"/>
  <c r="N115" i="1"/>
  <c r="M115" i="1"/>
  <c r="L115" i="1"/>
  <c r="G60" i="3" s="1"/>
  <c r="M114" i="1"/>
  <c r="L114" i="1"/>
  <c r="D60" i="3" s="1"/>
  <c r="F59" i="5"/>
  <c r="E59" i="5"/>
  <c r="C59" i="5"/>
  <c r="B59" i="5"/>
  <c r="A59" i="5"/>
  <c r="F59" i="3"/>
  <c r="E59" i="3"/>
  <c r="C59" i="3"/>
  <c r="B59" i="3"/>
  <c r="A59" i="3"/>
  <c r="H113" i="1"/>
  <c r="H112" i="1"/>
  <c r="N113" i="1"/>
  <c r="M113" i="1"/>
  <c r="L113" i="1"/>
  <c r="G59" i="3" s="1"/>
  <c r="M112" i="1"/>
  <c r="L112" i="1"/>
  <c r="D59" i="3" s="1"/>
  <c r="F58" i="5" l="1"/>
  <c r="E58" i="5"/>
  <c r="C58" i="5"/>
  <c r="B58" i="5"/>
  <c r="A58" i="5"/>
  <c r="F58" i="3"/>
  <c r="E58" i="3"/>
  <c r="C58" i="3"/>
  <c r="B58" i="3"/>
  <c r="A58" i="3"/>
  <c r="H111" i="1"/>
  <c r="H110" i="1"/>
  <c r="F57" i="5"/>
  <c r="E57" i="5"/>
  <c r="C57" i="5"/>
  <c r="B57" i="5"/>
  <c r="A57" i="5"/>
  <c r="F57" i="3"/>
  <c r="E57" i="3"/>
  <c r="C57" i="3"/>
  <c r="B57" i="3"/>
  <c r="A57" i="3"/>
  <c r="H109" i="1"/>
  <c r="H108" i="1"/>
  <c r="F56" i="5"/>
  <c r="E56" i="5"/>
  <c r="C56" i="5"/>
  <c r="B56" i="5"/>
  <c r="A56" i="5"/>
  <c r="F56" i="3"/>
  <c r="E56" i="3"/>
  <c r="C56" i="3"/>
  <c r="B56" i="3"/>
  <c r="A56" i="3"/>
  <c r="H107" i="1"/>
  <c r="N111" i="1"/>
  <c r="M111" i="1"/>
  <c r="L111" i="1"/>
  <c r="G58" i="3" s="1"/>
  <c r="M110" i="1"/>
  <c r="L110" i="1"/>
  <c r="D58" i="3" s="1"/>
  <c r="N109" i="1"/>
  <c r="M109" i="1"/>
  <c r="L109" i="1"/>
  <c r="G57" i="3" s="1"/>
  <c r="M108" i="1"/>
  <c r="L108" i="1"/>
  <c r="D57" i="3" s="1"/>
  <c r="N107" i="1"/>
  <c r="M107" i="1"/>
  <c r="L107" i="1"/>
  <c r="G56" i="3" s="1"/>
  <c r="M106" i="1"/>
  <c r="L106" i="1"/>
  <c r="D56" i="3" s="1"/>
  <c r="H106" i="1"/>
  <c r="J104" i="1" l="1"/>
  <c r="E55" i="5"/>
  <c r="F55" i="5"/>
  <c r="C55" i="5"/>
  <c r="B55" i="5"/>
  <c r="A55" i="5"/>
  <c r="F55" i="3"/>
  <c r="E55" i="3"/>
  <c r="D55" i="3"/>
  <c r="C55" i="3"/>
  <c r="B55" i="3"/>
  <c r="A55" i="3"/>
  <c r="H105" i="1"/>
  <c r="N105" i="1"/>
  <c r="M105" i="1"/>
  <c r="L105" i="1"/>
  <c r="G55" i="3" s="1"/>
  <c r="M104" i="1"/>
  <c r="L104" i="1"/>
  <c r="H104" i="1"/>
  <c r="H103" i="1" l="1"/>
  <c r="H102" i="1"/>
  <c r="F54" i="5"/>
  <c r="E54" i="5"/>
  <c r="C54" i="5"/>
  <c r="B54" i="5"/>
  <c r="A54" i="5"/>
  <c r="F53" i="5"/>
  <c r="E53" i="5"/>
  <c r="C53" i="5"/>
  <c r="B53" i="5"/>
  <c r="A53" i="5"/>
  <c r="F54" i="3"/>
  <c r="F53" i="3"/>
  <c r="E54" i="3"/>
  <c r="E53" i="3"/>
  <c r="C54" i="3"/>
  <c r="C53" i="3"/>
  <c r="B54" i="3"/>
  <c r="B53" i="3"/>
  <c r="A54" i="3"/>
  <c r="A53" i="3"/>
  <c r="H101" i="1"/>
  <c r="H100" i="1"/>
  <c r="N103" i="1"/>
  <c r="M103" i="1"/>
  <c r="L103" i="1"/>
  <c r="G54" i="3" s="1"/>
  <c r="M102" i="1"/>
  <c r="L102" i="1"/>
  <c r="D54" i="3" s="1"/>
  <c r="N101" i="1"/>
  <c r="M101" i="1"/>
  <c r="L101" i="1"/>
  <c r="G53" i="3" s="1"/>
  <c r="M100" i="1"/>
  <c r="L100" i="1"/>
  <c r="D53" i="3" s="1"/>
  <c r="F52" i="5"/>
  <c r="E52" i="5"/>
  <c r="C52" i="5"/>
  <c r="B52" i="5"/>
  <c r="A52" i="5"/>
  <c r="F52" i="3"/>
  <c r="E52" i="3"/>
  <c r="C52" i="3"/>
  <c r="B52" i="3"/>
  <c r="A52" i="3"/>
  <c r="N99" i="1"/>
  <c r="M99" i="1"/>
  <c r="L99" i="1"/>
  <c r="G52" i="3" s="1"/>
  <c r="M98" i="1"/>
  <c r="L98" i="1"/>
  <c r="D52" i="3" s="1"/>
  <c r="H99" i="1"/>
  <c r="H98" i="1"/>
  <c r="F51" i="5"/>
  <c r="E51" i="5"/>
  <c r="C51" i="5"/>
  <c r="B51" i="5"/>
  <c r="A51" i="5"/>
  <c r="F51" i="3"/>
  <c r="E51" i="3"/>
  <c r="C51" i="3"/>
  <c r="B51" i="3"/>
  <c r="A51" i="3"/>
  <c r="N97" i="1"/>
  <c r="M97" i="1"/>
  <c r="L97" i="1"/>
  <c r="G51" i="3" s="1"/>
  <c r="M96" i="1"/>
  <c r="L96" i="1"/>
  <c r="D51" i="3" s="1"/>
  <c r="H97" i="1"/>
  <c r="H96" i="1"/>
  <c r="M94" i="1"/>
  <c r="F50" i="5"/>
  <c r="E50" i="5"/>
  <c r="C50" i="5"/>
  <c r="B50" i="5"/>
  <c r="A50" i="5"/>
  <c r="F50" i="3"/>
  <c r="E50" i="3"/>
  <c r="C50" i="3"/>
  <c r="B50" i="3"/>
  <c r="A50" i="3"/>
  <c r="N95" i="1"/>
  <c r="M95" i="1"/>
  <c r="L95" i="1"/>
  <c r="G50" i="3" s="1"/>
  <c r="L94" i="1"/>
  <c r="D50" i="3" s="1"/>
  <c r="H95" i="1"/>
  <c r="H94" i="1"/>
  <c r="F49" i="5"/>
  <c r="E49" i="5"/>
  <c r="C49" i="5"/>
  <c r="B49" i="5"/>
  <c r="A49" i="5"/>
  <c r="F49" i="3"/>
  <c r="E49" i="3"/>
  <c r="C49" i="3"/>
  <c r="B49" i="3"/>
  <c r="A49" i="3"/>
  <c r="N93" i="1"/>
  <c r="M93" i="1"/>
  <c r="L93" i="1"/>
  <c r="G49" i="3" s="1"/>
  <c r="M92" i="1"/>
  <c r="L92" i="1"/>
  <c r="D49" i="3" s="1"/>
  <c r="H93" i="1"/>
  <c r="H92" i="1"/>
  <c r="F48" i="5"/>
  <c r="E48" i="5"/>
  <c r="C48" i="5"/>
  <c r="B48" i="5"/>
  <c r="A48" i="5"/>
  <c r="E48" i="3"/>
  <c r="F48" i="3"/>
  <c r="C48" i="3"/>
  <c r="B48" i="3"/>
  <c r="A48" i="3"/>
  <c r="H91" i="1"/>
  <c r="N91" i="1"/>
  <c r="M91" i="1"/>
  <c r="L91" i="1"/>
  <c r="G48" i="3" s="1"/>
  <c r="N90" i="1"/>
  <c r="M90" i="1"/>
  <c r="L90" i="1"/>
  <c r="D48" i="3" s="1"/>
  <c r="H90" i="1" l="1"/>
  <c r="F47" i="5" l="1"/>
  <c r="E47" i="5"/>
  <c r="C47" i="5"/>
  <c r="B47" i="5"/>
  <c r="A47" i="5"/>
  <c r="F47" i="3"/>
  <c r="E47" i="3"/>
  <c r="C47" i="3"/>
  <c r="B47" i="3"/>
  <c r="A47" i="3"/>
  <c r="H89" i="1"/>
  <c r="H88" i="1"/>
  <c r="N89" i="1"/>
  <c r="M89" i="1"/>
  <c r="L89" i="1"/>
  <c r="G47" i="3" s="1"/>
  <c r="N88" i="1"/>
  <c r="M88" i="1"/>
  <c r="L88" i="1"/>
  <c r="D47" i="3" s="1"/>
  <c r="F46" i="5" l="1"/>
  <c r="E46" i="5"/>
  <c r="C46" i="5"/>
  <c r="B46" i="5"/>
  <c r="A46" i="5"/>
  <c r="F46" i="3"/>
  <c r="E46" i="3"/>
  <c r="C46" i="3"/>
  <c r="B46" i="3"/>
  <c r="A46" i="3"/>
  <c r="H87" i="1"/>
  <c r="H86" i="1"/>
  <c r="N87" i="1"/>
  <c r="M87" i="1"/>
  <c r="L87" i="1"/>
  <c r="G46" i="3" s="1"/>
  <c r="N86" i="1"/>
  <c r="M86" i="1"/>
  <c r="L86" i="1"/>
  <c r="D46" i="3" s="1"/>
  <c r="F45" i="5" l="1"/>
  <c r="E45" i="5"/>
  <c r="C45" i="5"/>
  <c r="B45" i="5"/>
  <c r="A45" i="5"/>
  <c r="F45" i="3"/>
  <c r="E45" i="3"/>
  <c r="D45" i="3"/>
  <c r="C45" i="3"/>
  <c r="B45" i="3"/>
  <c r="A45" i="3"/>
  <c r="H85" i="1"/>
  <c r="N85" i="1"/>
  <c r="M85" i="1"/>
  <c r="L85" i="1"/>
  <c r="G45" i="3" s="1"/>
  <c r="N84" i="1"/>
  <c r="M84" i="1"/>
  <c r="L84" i="1"/>
  <c r="H84" i="1"/>
  <c r="F44" i="5" l="1"/>
  <c r="E44" i="5"/>
  <c r="C44" i="5"/>
  <c r="B44" i="5"/>
  <c r="A44" i="5"/>
  <c r="F44" i="3"/>
  <c r="E44" i="3"/>
  <c r="C44" i="3"/>
  <c r="B44" i="3"/>
  <c r="A44" i="3"/>
  <c r="H83" i="1"/>
  <c r="H82" i="1"/>
  <c r="N83" i="1"/>
  <c r="M83" i="1"/>
  <c r="L83" i="1"/>
  <c r="G44" i="3" s="1"/>
  <c r="N82" i="1"/>
  <c r="M82" i="1"/>
  <c r="L82" i="1"/>
  <c r="D44" i="3" s="1"/>
  <c r="F43" i="5" l="1"/>
  <c r="E43" i="5"/>
  <c r="C43" i="5"/>
  <c r="B43" i="5"/>
  <c r="A43" i="5"/>
  <c r="F43" i="3"/>
  <c r="E43" i="3"/>
  <c r="C43" i="3"/>
  <c r="B43" i="3"/>
  <c r="A43" i="3"/>
  <c r="J81" i="1"/>
  <c r="L81" i="1"/>
  <c r="G43" i="3" s="1"/>
  <c r="L80" i="1"/>
  <c r="D43" i="3" s="1"/>
  <c r="H81" i="1"/>
  <c r="N81" i="1"/>
  <c r="M81" i="1"/>
  <c r="N80" i="1"/>
  <c r="M80" i="1"/>
  <c r="H80" i="1"/>
  <c r="F42" i="5" l="1"/>
  <c r="E42" i="5"/>
  <c r="C42" i="5"/>
  <c r="B42" i="5"/>
  <c r="A42" i="5"/>
  <c r="F42" i="3"/>
  <c r="E42" i="3"/>
  <c r="C42" i="3"/>
  <c r="B42" i="3"/>
  <c r="A42" i="3"/>
  <c r="H79" i="1"/>
  <c r="H78" i="1"/>
  <c r="N79" i="1"/>
  <c r="M79" i="1"/>
  <c r="L79" i="1"/>
  <c r="G42" i="3" s="1"/>
  <c r="N78" i="1"/>
  <c r="M78" i="1"/>
  <c r="L78" i="1"/>
  <c r="D42" i="3" s="1"/>
  <c r="F41" i="5" l="1"/>
  <c r="E41" i="5"/>
  <c r="C41" i="5"/>
  <c r="B41" i="5"/>
  <c r="A41" i="5"/>
  <c r="A41" i="3"/>
  <c r="B41" i="3"/>
  <c r="C41" i="3"/>
  <c r="E41" i="3"/>
  <c r="F41" i="3"/>
  <c r="H77" i="1"/>
  <c r="H76" i="1"/>
  <c r="N77" i="1"/>
  <c r="M77" i="1"/>
  <c r="L77" i="1"/>
  <c r="G41" i="3" s="1"/>
  <c r="N76" i="1"/>
  <c r="M76" i="1"/>
  <c r="L76" i="1"/>
  <c r="D41" i="3" s="1"/>
  <c r="F40" i="5" l="1"/>
  <c r="E40" i="5"/>
  <c r="C40" i="5"/>
  <c r="B40" i="5"/>
  <c r="A40" i="5"/>
  <c r="F40" i="3"/>
  <c r="C40" i="3"/>
  <c r="E40" i="3"/>
  <c r="B40" i="3"/>
  <c r="A40" i="3"/>
  <c r="J75" i="1"/>
  <c r="J74" i="1"/>
  <c r="H75" i="1"/>
  <c r="H74" i="1"/>
  <c r="J72" i="1"/>
  <c r="F39" i="5"/>
  <c r="E39" i="5"/>
  <c r="C39" i="5"/>
  <c r="B39" i="5"/>
  <c r="A39" i="5"/>
  <c r="F39" i="3"/>
  <c r="E39" i="3"/>
  <c r="C39" i="3"/>
  <c r="B39" i="3"/>
  <c r="A39" i="3"/>
  <c r="H73" i="1"/>
  <c r="H72" i="1"/>
  <c r="N75" i="1"/>
  <c r="M75" i="1"/>
  <c r="L75" i="1"/>
  <c r="G40" i="3" s="1"/>
  <c r="N74" i="1"/>
  <c r="M74" i="1"/>
  <c r="L74" i="1"/>
  <c r="D40" i="3" s="1"/>
  <c r="N73" i="1"/>
  <c r="M73" i="1"/>
  <c r="L73" i="1"/>
  <c r="G39" i="3" s="1"/>
  <c r="N72" i="1"/>
  <c r="M72" i="1"/>
  <c r="L72" i="1"/>
  <c r="D39" i="3" s="1"/>
  <c r="F38" i="5" l="1"/>
  <c r="E38" i="5"/>
  <c r="C38" i="5"/>
  <c r="B38" i="5"/>
  <c r="A38" i="5"/>
  <c r="F38" i="3"/>
  <c r="E38" i="3"/>
  <c r="C38" i="3"/>
  <c r="B38" i="3"/>
  <c r="A38" i="3"/>
  <c r="H71" i="1"/>
  <c r="H70" i="1"/>
  <c r="N71" i="1"/>
  <c r="M71" i="1"/>
  <c r="L71" i="1"/>
  <c r="G38" i="3" s="1"/>
  <c r="N70" i="1"/>
  <c r="M70" i="1"/>
  <c r="L70" i="1"/>
  <c r="D38" i="3" s="1"/>
  <c r="F37" i="5" l="1"/>
  <c r="E37" i="5"/>
  <c r="C37" i="5"/>
  <c r="B37" i="5"/>
  <c r="A37" i="5"/>
  <c r="C36" i="5"/>
  <c r="B36" i="5"/>
  <c r="E36" i="5"/>
  <c r="F36" i="5"/>
  <c r="F37" i="3"/>
  <c r="E37" i="3"/>
  <c r="C37" i="3"/>
  <c r="B37" i="3"/>
  <c r="A37" i="3"/>
  <c r="J68" i="1"/>
  <c r="H69" i="1"/>
  <c r="N69" i="1"/>
  <c r="M69" i="1"/>
  <c r="L69" i="1"/>
  <c r="G37" i="3" s="1"/>
  <c r="N68" i="1"/>
  <c r="M68" i="1"/>
  <c r="L68" i="1"/>
  <c r="D37" i="3" s="1"/>
  <c r="H68" i="1"/>
  <c r="A36" i="5" l="1"/>
  <c r="F36" i="3"/>
  <c r="E36" i="3"/>
  <c r="C36" i="3"/>
  <c r="B36" i="3"/>
  <c r="A36" i="3"/>
  <c r="H67" i="1"/>
  <c r="N67" i="1"/>
  <c r="M67" i="1"/>
  <c r="L67" i="1"/>
  <c r="G36" i="3" s="1"/>
  <c r="N66" i="1"/>
  <c r="M66" i="1"/>
  <c r="L66" i="1"/>
  <c r="D36" i="3" s="1"/>
  <c r="H66" i="1"/>
  <c r="J67" i="1"/>
  <c r="J66" i="1"/>
  <c r="F35" i="5"/>
  <c r="E35" i="5"/>
  <c r="A35" i="5"/>
  <c r="C35" i="5"/>
  <c r="B35" i="5"/>
  <c r="F35" i="3"/>
  <c r="E35" i="3"/>
  <c r="C35" i="3"/>
  <c r="B35" i="3"/>
  <c r="A35" i="3"/>
  <c r="N65" i="1"/>
  <c r="M65" i="1"/>
  <c r="L65" i="1"/>
  <c r="G35" i="3" s="1"/>
  <c r="N64" i="1"/>
  <c r="M64" i="1"/>
  <c r="L64" i="1"/>
  <c r="D35" i="3" s="1"/>
  <c r="H65" i="1"/>
  <c r="H64" i="1"/>
  <c r="F34" i="5"/>
  <c r="E34" i="5"/>
  <c r="C34" i="5"/>
  <c r="B34" i="5"/>
  <c r="A34" i="5"/>
  <c r="F34" i="3"/>
  <c r="E34" i="3"/>
  <c r="C34" i="3"/>
  <c r="B34" i="3"/>
  <c r="A34" i="3"/>
  <c r="H63" i="1"/>
  <c r="H62" i="1"/>
  <c r="N63" i="1"/>
  <c r="M63" i="1"/>
  <c r="L63" i="1"/>
  <c r="G34" i="3" s="1"/>
  <c r="N62" i="1"/>
  <c r="M62" i="1"/>
  <c r="L62" i="1"/>
  <c r="D34" i="3" s="1"/>
  <c r="F33" i="5"/>
  <c r="E33" i="5"/>
  <c r="C33" i="5"/>
  <c r="B33" i="5"/>
  <c r="A33" i="5"/>
  <c r="F33" i="3"/>
  <c r="E33" i="3"/>
  <c r="C33" i="3"/>
  <c r="B33" i="3"/>
  <c r="A33" i="3"/>
  <c r="H61" i="1"/>
  <c r="N61" i="1"/>
  <c r="M61" i="1"/>
  <c r="L61" i="1"/>
  <c r="G33" i="3" s="1"/>
  <c r="N60" i="1"/>
  <c r="M60" i="1"/>
  <c r="L60" i="1"/>
  <c r="D33" i="3" s="1"/>
  <c r="H60" i="1"/>
  <c r="F32" i="5" l="1"/>
  <c r="E32" i="5"/>
  <c r="C32" i="5"/>
  <c r="B32" i="5"/>
  <c r="A32" i="5"/>
  <c r="F32" i="3"/>
  <c r="E32" i="3"/>
  <c r="C32" i="3"/>
  <c r="B32" i="3"/>
  <c r="A32" i="3"/>
  <c r="H59" i="1"/>
  <c r="N59" i="1"/>
  <c r="M59" i="1"/>
  <c r="L59" i="1"/>
  <c r="G32" i="3" s="1"/>
  <c r="N58" i="1"/>
  <c r="M58" i="1"/>
  <c r="L58" i="1"/>
  <c r="D32" i="3" s="1"/>
  <c r="H58" i="1"/>
  <c r="F31" i="5"/>
  <c r="E31" i="5"/>
  <c r="C31" i="5"/>
  <c r="B31" i="5"/>
  <c r="A31" i="5"/>
  <c r="F31" i="3"/>
  <c r="E31" i="3"/>
  <c r="C31" i="3"/>
  <c r="B31" i="3"/>
  <c r="A31" i="3"/>
  <c r="N57" i="1"/>
  <c r="M57" i="1"/>
  <c r="L57" i="1"/>
  <c r="G31" i="3" s="1"/>
  <c r="N56" i="1"/>
  <c r="M56" i="1"/>
  <c r="L56" i="1"/>
  <c r="D31" i="3" s="1"/>
  <c r="H57" i="1"/>
  <c r="H56" i="1"/>
  <c r="J55" i="1"/>
  <c r="J54" i="1"/>
  <c r="F30" i="5"/>
  <c r="E30" i="5"/>
  <c r="B30" i="5"/>
  <c r="C30" i="5"/>
  <c r="A30" i="5"/>
  <c r="F30" i="3"/>
  <c r="E30" i="3"/>
  <c r="C30" i="3"/>
  <c r="B30" i="3"/>
  <c r="A30" i="3"/>
  <c r="H55" i="1"/>
  <c r="H54" i="1"/>
  <c r="N55" i="1"/>
  <c r="M55" i="1"/>
  <c r="L55" i="1"/>
  <c r="G30" i="3" s="1"/>
  <c r="N54" i="1"/>
  <c r="M54" i="1"/>
  <c r="L54" i="1"/>
  <c r="D30" i="3" s="1"/>
  <c r="F29" i="5"/>
  <c r="E29" i="5"/>
  <c r="C29" i="5"/>
  <c r="B29" i="5"/>
  <c r="A29" i="5"/>
  <c r="F29" i="3"/>
  <c r="E29" i="3"/>
  <c r="C29" i="3"/>
  <c r="B29" i="3"/>
  <c r="A29" i="3"/>
  <c r="J52" i="1"/>
  <c r="H53" i="1"/>
  <c r="H52" i="1"/>
  <c r="N53" i="1"/>
  <c r="M53" i="1"/>
  <c r="L53" i="1"/>
  <c r="G29" i="3" s="1"/>
  <c r="N52" i="1"/>
  <c r="M52" i="1"/>
  <c r="L52" i="1"/>
  <c r="D29" i="3" s="1"/>
  <c r="F28" i="5" l="1"/>
  <c r="E28" i="5"/>
  <c r="C28" i="5"/>
  <c r="B28" i="5"/>
  <c r="A28" i="5"/>
  <c r="A28" i="3"/>
  <c r="C28" i="3"/>
  <c r="B28" i="3"/>
  <c r="E28" i="3"/>
  <c r="F28" i="3"/>
  <c r="J50" i="1"/>
  <c r="H51" i="1"/>
  <c r="N51" i="1"/>
  <c r="M51" i="1"/>
  <c r="L51" i="1"/>
  <c r="G28" i="3" s="1"/>
  <c r="N50" i="1"/>
  <c r="M50" i="1"/>
  <c r="L50" i="1"/>
  <c r="D28" i="3" s="1"/>
  <c r="H50" i="1"/>
  <c r="F27" i="5" l="1"/>
  <c r="E27" i="5"/>
  <c r="C27" i="5"/>
  <c r="B27" i="5"/>
  <c r="A27" i="5"/>
  <c r="F27" i="3"/>
  <c r="E27" i="3"/>
  <c r="C27" i="3"/>
  <c r="B27" i="3"/>
  <c r="A27" i="3"/>
  <c r="H49" i="1"/>
  <c r="N49" i="1"/>
  <c r="M49" i="1"/>
  <c r="L49" i="1"/>
  <c r="G27" i="3" s="1"/>
  <c r="N48" i="1"/>
  <c r="M48" i="1"/>
  <c r="L48" i="1"/>
  <c r="D27" i="3" s="1"/>
  <c r="H48" i="1"/>
  <c r="F26" i="5" l="1"/>
  <c r="E26" i="5"/>
  <c r="C26" i="5"/>
  <c r="B26" i="5"/>
  <c r="A26" i="5"/>
  <c r="F26" i="3"/>
  <c r="E26" i="3"/>
  <c r="C26" i="3"/>
  <c r="B26" i="3"/>
  <c r="A26" i="3"/>
  <c r="H47" i="1"/>
  <c r="J46" i="1"/>
  <c r="H46" i="1"/>
  <c r="N47" i="1"/>
  <c r="M47" i="1"/>
  <c r="L47" i="1"/>
  <c r="G26" i="3" s="1"/>
  <c r="N46" i="1"/>
  <c r="M46" i="1"/>
  <c r="L46" i="1"/>
  <c r="D26" i="3" s="1"/>
  <c r="F25" i="5"/>
  <c r="E25" i="5"/>
  <c r="C25" i="5"/>
  <c r="B25" i="5"/>
  <c r="A25" i="5"/>
  <c r="F25" i="3"/>
  <c r="E25" i="3"/>
  <c r="C25" i="3"/>
  <c r="B25" i="3"/>
  <c r="A25" i="3"/>
  <c r="H45" i="1"/>
  <c r="N45" i="1"/>
  <c r="N44" i="1"/>
  <c r="M45" i="1"/>
  <c r="M44" i="1"/>
  <c r="L45" i="1"/>
  <c r="G25" i="3" s="1"/>
  <c r="L44" i="1"/>
  <c r="D25" i="3" s="1"/>
  <c r="H44" i="1"/>
  <c r="F24" i="5" l="1"/>
  <c r="E24" i="5"/>
  <c r="C24" i="5"/>
  <c r="B24" i="5"/>
  <c r="A24" i="5"/>
  <c r="F24" i="3"/>
  <c r="E24" i="3"/>
  <c r="C24" i="3"/>
  <c r="B24" i="3"/>
  <c r="A24" i="3"/>
  <c r="J43" i="1"/>
  <c r="J42" i="1"/>
  <c r="H43" i="1"/>
  <c r="H42" i="1"/>
  <c r="N43" i="1"/>
  <c r="N42" i="1"/>
  <c r="M43" i="1"/>
  <c r="M42" i="1"/>
  <c r="L43" i="1"/>
  <c r="G24" i="3" s="1"/>
  <c r="L42" i="1"/>
  <c r="D24" i="3" s="1"/>
  <c r="F23" i="5" l="1"/>
  <c r="E23" i="5"/>
  <c r="C23" i="5"/>
  <c r="B23" i="5"/>
  <c r="F23" i="3"/>
  <c r="E23" i="3"/>
  <c r="C23" i="3"/>
  <c r="B23" i="3"/>
  <c r="N41" i="1"/>
  <c r="M41" i="1"/>
  <c r="L41" i="1"/>
  <c r="G23" i="3" s="1"/>
  <c r="N40" i="1"/>
  <c r="M40" i="1"/>
  <c r="L40" i="1"/>
  <c r="D23" i="3" s="1"/>
  <c r="H41" i="1"/>
  <c r="H40" i="1"/>
  <c r="F22" i="5"/>
  <c r="E22" i="5"/>
  <c r="C22" i="5"/>
  <c r="B22" i="5"/>
  <c r="G22" i="3"/>
  <c r="F22" i="3"/>
  <c r="E22" i="3"/>
  <c r="C22" i="3"/>
  <c r="B22" i="3"/>
  <c r="N39" i="1"/>
  <c r="M39" i="1"/>
  <c r="L39" i="1"/>
  <c r="N38" i="1"/>
  <c r="M38" i="1"/>
  <c r="L38" i="1"/>
  <c r="D22" i="3" s="1"/>
  <c r="H39" i="1"/>
  <c r="H38" i="1"/>
  <c r="F21" i="5"/>
  <c r="E21" i="5"/>
  <c r="C21" i="5"/>
  <c r="B21" i="5"/>
  <c r="F21" i="3"/>
  <c r="E21" i="3"/>
  <c r="C21" i="3"/>
  <c r="B21" i="3"/>
  <c r="N37" i="1"/>
  <c r="M37" i="1"/>
  <c r="L37" i="1"/>
  <c r="G21" i="3" s="1"/>
  <c r="N36" i="1"/>
  <c r="M36" i="1"/>
  <c r="L36" i="1"/>
  <c r="D21" i="3" s="1"/>
  <c r="H37" i="1"/>
  <c r="H36" i="1"/>
  <c r="F20" i="5"/>
  <c r="E20" i="5"/>
  <c r="C20" i="5"/>
  <c r="B20" i="5"/>
  <c r="A20" i="5"/>
  <c r="F20" i="3"/>
  <c r="E20" i="3"/>
  <c r="C20" i="3"/>
  <c r="B20" i="3"/>
  <c r="A20" i="3"/>
  <c r="H35" i="1"/>
  <c r="N35" i="1"/>
  <c r="N34" i="1"/>
  <c r="M35" i="1"/>
  <c r="M34" i="1"/>
  <c r="L35" i="1"/>
  <c r="G20" i="3" s="1"/>
  <c r="L34" i="1"/>
  <c r="D20" i="3" s="1"/>
  <c r="H34" i="1"/>
  <c r="F19" i="5" l="1"/>
  <c r="E19" i="5"/>
  <c r="C19" i="5"/>
  <c r="B19" i="5"/>
  <c r="A19" i="5"/>
  <c r="F19" i="3"/>
  <c r="E19" i="3"/>
  <c r="C19" i="3"/>
  <c r="B19" i="3"/>
  <c r="A19" i="3"/>
  <c r="H33" i="1"/>
  <c r="N33" i="1"/>
  <c r="N32" i="1"/>
  <c r="M33" i="1"/>
  <c r="M32" i="1"/>
  <c r="L33" i="1"/>
  <c r="G19" i="3" s="1"/>
  <c r="L32" i="1"/>
  <c r="D19" i="3" s="1"/>
  <c r="H32" i="1"/>
  <c r="F18" i="5" l="1"/>
  <c r="E18" i="5"/>
  <c r="C18" i="5"/>
  <c r="B18" i="5"/>
  <c r="A18" i="5"/>
  <c r="F18" i="3"/>
  <c r="E18" i="3"/>
  <c r="C18" i="3"/>
  <c r="B18" i="3"/>
  <c r="A18" i="3"/>
  <c r="H31" i="1"/>
  <c r="H30" i="1"/>
  <c r="N31" i="1"/>
  <c r="N30" i="1"/>
  <c r="M31" i="1"/>
  <c r="M30" i="1"/>
  <c r="L31" i="1"/>
  <c r="G18" i="3" s="1"/>
  <c r="L30" i="1"/>
  <c r="D18" i="3" s="1"/>
  <c r="F17" i="5" l="1"/>
  <c r="E17" i="5"/>
  <c r="C17" i="5"/>
  <c r="B17" i="5"/>
  <c r="A17" i="5"/>
  <c r="F17" i="3"/>
  <c r="E17" i="3"/>
  <c r="C17" i="3"/>
  <c r="B17" i="3"/>
  <c r="H29" i="1"/>
  <c r="N29" i="1"/>
  <c r="N28" i="1"/>
  <c r="M29" i="1"/>
  <c r="M28" i="1"/>
  <c r="L29" i="1"/>
  <c r="G17" i="3" s="1"/>
  <c r="L28" i="1"/>
  <c r="D17" i="3" s="1"/>
  <c r="H28" i="1"/>
  <c r="F16" i="5" l="1"/>
  <c r="E16" i="5"/>
  <c r="C16" i="5"/>
  <c r="B16" i="5"/>
  <c r="F16" i="3"/>
  <c r="E16" i="3"/>
  <c r="C16" i="3"/>
  <c r="B16" i="3"/>
  <c r="J26" i="1"/>
  <c r="H27" i="1"/>
  <c r="N27" i="1"/>
  <c r="N26" i="1"/>
  <c r="M27" i="1"/>
  <c r="M26" i="1"/>
  <c r="L27" i="1"/>
  <c r="G16" i="3" s="1"/>
  <c r="L26" i="1"/>
  <c r="D16" i="3" s="1"/>
  <c r="H26" i="1"/>
  <c r="G16" i="5" l="1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C15" i="5"/>
  <c r="B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L25" i="1"/>
  <c r="G15" i="3" s="1"/>
  <c r="L24" i="1"/>
  <c r="D15" i="3" s="1"/>
  <c r="F15" i="5"/>
  <c r="E15" i="5"/>
  <c r="A15" i="5"/>
  <c r="F15" i="3"/>
  <c r="E15" i="3"/>
  <c r="C15" i="3"/>
  <c r="B15" i="3"/>
  <c r="A15" i="3"/>
  <c r="H25" i="1"/>
  <c r="N24" i="1"/>
  <c r="N25" i="1"/>
  <c r="M25" i="1"/>
  <c r="M24" i="1"/>
  <c r="H24" i="1"/>
  <c r="G15" i="5" l="1"/>
  <c r="D15" i="5"/>
  <c r="F14" i="5"/>
  <c r="E14" i="5"/>
  <c r="C14" i="5"/>
  <c r="B14" i="5"/>
  <c r="A14" i="5"/>
  <c r="F14" i="3"/>
  <c r="E14" i="3"/>
  <c r="C14" i="3"/>
  <c r="B14" i="3"/>
  <c r="A14" i="3"/>
  <c r="J22" i="1"/>
  <c r="H23" i="1"/>
  <c r="N23" i="1"/>
  <c r="N22" i="1"/>
  <c r="M23" i="1"/>
  <c r="M22" i="1"/>
  <c r="L23" i="1"/>
  <c r="G14" i="3" s="1"/>
  <c r="L22" i="1"/>
  <c r="D14" i="3" s="1"/>
  <c r="H22" i="1"/>
  <c r="D14" i="5" l="1"/>
  <c r="G14" i="5"/>
  <c r="J16" i="1"/>
  <c r="J10" i="1"/>
  <c r="J8" i="1"/>
  <c r="J7" i="1"/>
  <c r="J6" i="1"/>
  <c r="J5" i="1"/>
  <c r="J4" i="1"/>
  <c r="J2" i="1"/>
  <c r="J19" i="1" l="1"/>
  <c r="J18" i="1"/>
  <c r="M3" i="1"/>
  <c r="M2" i="1"/>
  <c r="M5" i="1"/>
  <c r="M4" i="1"/>
  <c r="M7" i="1"/>
  <c r="M6" i="1"/>
  <c r="M9" i="1"/>
  <c r="M8" i="1"/>
  <c r="M11" i="1"/>
  <c r="M10" i="1"/>
  <c r="M13" i="1"/>
  <c r="M12" i="1"/>
  <c r="M15" i="1"/>
  <c r="M14" i="1"/>
  <c r="M17" i="1"/>
  <c r="M16" i="1"/>
  <c r="M19" i="1"/>
  <c r="M18" i="1"/>
  <c r="M21" i="1"/>
  <c r="M20" i="1"/>
  <c r="F13" i="5"/>
  <c r="E13" i="5"/>
  <c r="C13" i="5"/>
  <c r="B13" i="5"/>
  <c r="F13" i="3"/>
  <c r="E13" i="3"/>
  <c r="C13" i="3"/>
  <c r="B13" i="3"/>
  <c r="H21" i="1"/>
  <c r="N21" i="1"/>
  <c r="N20" i="1"/>
  <c r="L21" i="1"/>
  <c r="G13" i="3" s="1"/>
  <c r="L20" i="1"/>
  <c r="D13" i="3" s="1"/>
  <c r="H20" i="1"/>
  <c r="G13" i="5" l="1"/>
  <c r="D13" i="5"/>
  <c r="F12" i="5"/>
  <c r="E12" i="5"/>
  <c r="B12" i="5"/>
  <c r="C12" i="5"/>
  <c r="A12" i="5"/>
  <c r="F12" i="3"/>
  <c r="E12" i="3"/>
  <c r="C12" i="3"/>
  <c r="B12" i="3"/>
  <c r="H19" i="1"/>
  <c r="N19" i="1"/>
  <c r="N18" i="1"/>
  <c r="L19" i="1"/>
  <c r="G12" i="3" s="1"/>
  <c r="L18" i="1"/>
  <c r="D12" i="3" s="1"/>
  <c r="H18" i="1"/>
  <c r="D12" i="5" l="1"/>
  <c r="G12" i="5"/>
  <c r="F11" i="5"/>
  <c r="E11" i="5"/>
  <c r="C11" i="5"/>
  <c r="B11" i="5"/>
  <c r="F11" i="3"/>
  <c r="E11" i="3"/>
  <c r="C11" i="3"/>
  <c r="B11" i="3"/>
  <c r="N17" i="1"/>
  <c r="N16" i="1"/>
  <c r="H17" i="1"/>
  <c r="H16" i="1"/>
  <c r="C10" i="3"/>
  <c r="F10" i="5"/>
  <c r="E10" i="5"/>
  <c r="C10" i="5"/>
  <c r="B10" i="5"/>
  <c r="F10" i="3"/>
  <c r="E10" i="3"/>
  <c r="B10" i="3"/>
  <c r="H15" i="1"/>
  <c r="N15" i="1"/>
  <c r="N14" i="1"/>
  <c r="H14" i="1"/>
  <c r="G11" i="5" l="1"/>
  <c r="D11" i="5"/>
  <c r="G10" i="5"/>
  <c r="D10" i="5"/>
  <c r="L17" i="1"/>
  <c r="G11" i="3" s="1"/>
  <c r="L16" i="1"/>
  <c r="D11" i="3" s="1"/>
  <c r="L15" i="1"/>
  <c r="G10" i="3" s="1"/>
  <c r="L14" i="1"/>
  <c r="D10" i="3" s="1"/>
  <c r="F9" i="5"/>
  <c r="E9" i="5"/>
  <c r="B9" i="5"/>
  <c r="C9" i="5"/>
  <c r="G9" i="3"/>
  <c r="F9" i="3"/>
  <c r="E9" i="3"/>
  <c r="D9" i="3"/>
  <c r="C9" i="3"/>
  <c r="B9" i="3"/>
  <c r="H13" i="1"/>
  <c r="N13" i="1"/>
  <c r="N12" i="1"/>
  <c r="H12" i="1"/>
  <c r="D9" i="5" l="1"/>
  <c r="G9" i="5"/>
  <c r="F8" i="5"/>
  <c r="E8" i="5"/>
  <c r="C8" i="5"/>
  <c r="B8" i="5"/>
  <c r="G8" i="3"/>
  <c r="F8" i="3"/>
  <c r="E8" i="3"/>
  <c r="D8" i="3"/>
  <c r="C8" i="3"/>
  <c r="B8" i="3"/>
  <c r="H11" i="1"/>
  <c r="N11" i="1"/>
  <c r="N10" i="1"/>
  <c r="H10" i="1"/>
  <c r="D8" i="5" l="1"/>
  <c r="G8" i="5"/>
  <c r="F7" i="5"/>
  <c r="E7" i="5"/>
  <c r="C7" i="5"/>
  <c r="B7" i="5"/>
  <c r="G7" i="3"/>
  <c r="F7" i="3"/>
  <c r="E7" i="3"/>
  <c r="D7" i="3"/>
  <c r="C7" i="3"/>
  <c r="B7" i="3"/>
  <c r="N9" i="1"/>
  <c r="H9" i="1"/>
  <c r="N8" i="1"/>
  <c r="H8" i="1"/>
  <c r="G7" i="5" l="1"/>
  <c r="D7" i="5"/>
  <c r="N6" i="1"/>
  <c r="N4" i="1"/>
  <c r="N2" i="1"/>
  <c r="G6" i="3"/>
  <c r="F6" i="3"/>
  <c r="E6" i="3"/>
  <c r="D6" i="3"/>
  <c r="C6" i="3"/>
  <c r="B6" i="3"/>
  <c r="F6" i="5"/>
  <c r="E6" i="5"/>
  <c r="C6" i="5"/>
  <c r="B6" i="5"/>
  <c r="H7" i="1"/>
  <c r="N7" i="1"/>
  <c r="H6" i="1"/>
  <c r="G6" i="5" l="1"/>
  <c r="D6" i="5"/>
  <c r="N5" i="1"/>
  <c r="H5" i="1"/>
  <c r="H4" i="1"/>
  <c r="F5" i="5" l="1"/>
  <c r="E5" i="5"/>
  <c r="C5" i="5"/>
  <c r="B5" i="5"/>
  <c r="G5" i="3"/>
  <c r="F5" i="3"/>
  <c r="E5" i="3"/>
  <c r="D5" i="3"/>
  <c r="C5" i="3"/>
  <c r="B5" i="3"/>
  <c r="N3" i="1"/>
  <c r="D5" i="5" l="1"/>
  <c r="G5" i="5"/>
  <c r="H3" i="1"/>
  <c r="F4" i="5" l="1"/>
  <c r="E4" i="5"/>
  <c r="C4" i="5"/>
  <c r="B4" i="5"/>
  <c r="G4" i="3"/>
  <c r="F4" i="3"/>
  <c r="D4" i="3"/>
  <c r="C4" i="3"/>
  <c r="E4" i="3"/>
  <c r="B4" i="3"/>
  <c r="H2" i="1"/>
  <c r="D4" i="5" l="1"/>
  <c r="G4" i="5"/>
</calcChain>
</file>

<file path=xl/sharedStrings.xml><?xml version="1.0" encoding="utf-8"?>
<sst xmlns="http://schemas.openxmlformats.org/spreadsheetml/2006/main" count="497" uniqueCount="27">
  <si>
    <t>التاريخ</t>
  </si>
  <si>
    <t>المركز</t>
  </si>
  <si>
    <t>فتح</t>
  </si>
  <si>
    <t>ادنى سعر</t>
  </si>
  <si>
    <t>اعلى سعر</t>
  </si>
  <si>
    <t>اغلاق</t>
  </si>
  <si>
    <t>قيمة التداول</t>
  </si>
  <si>
    <t>حجم التداول</t>
  </si>
  <si>
    <t>رأس المال السوقى</t>
  </si>
  <si>
    <t>P/E</t>
  </si>
  <si>
    <t>DY</t>
  </si>
  <si>
    <t>نسبة التغير</t>
  </si>
  <si>
    <t>الورقة المالية</t>
  </si>
  <si>
    <t>موبكو</t>
  </si>
  <si>
    <t>ابوقير</t>
  </si>
  <si>
    <t>ترتيب سهم شركة مصر لإنتاج الأسمدة (موبكو) مقارنة بسهم شركة ابوقير للأسمدة فى السوق الرئيسى من حيث قيم التداول</t>
  </si>
  <si>
    <t>مصر لإنتاج الأسمدة (موبكو)</t>
  </si>
  <si>
    <t>أبوقير للأسمدة</t>
  </si>
  <si>
    <t>سعر الفتح</t>
  </si>
  <si>
    <t>سعر الإغلاق</t>
  </si>
  <si>
    <r>
      <t xml:space="preserve">بيان بأسعار الفتح والإغلاق لكل من شركتى موبكو وأبوقير </t>
    </r>
    <r>
      <rPr>
        <sz val="14"/>
        <color theme="1"/>
        <rFont val="Arial"/>
        <family val="2"/>
      </rPr>
      <t>2026</t>
    </r>
  </si>
  <si>
    <t>النسبة</t>
  </si>
  <si>
    <t>-</t>
  </si>
  <si>
    <t>EV</t>
  </si>
  <si>
    <t>P/B</t>
  </si>
  <si>
    <t>10/02/026</t>
  </si>
  <si>
    <t>10/03/32026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</si>
</sst>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0.0%"/>
    <numFmt numFmtId="166" formatCode="#,##0.0"/>
  </numFmts>
  <fonts count="11" x14ac:knownFonts="1">
    <font>
      <sz val="11"/>
      <color theme="1"/>
      <name val="Arial"/>
      <family val="2"/>
      <scheme val="minor"/>
    </font>
    <font>
      <sz val="14"/>
      <color theme="1"/>
      <name val="Mudir MT"/>
      <charset val="178"/>
    </font>
    <font>
      <sz val="12"/>
      <color theme="1"/>
      <name val="Mudir MT"/>
      <charset val="178"/>
    </font>
    <font>
      <sz val="12"/>
      <name val="Mudir MT"/>
      <charset val="178"/>
    </font>
    <font>
      <sz val="18"/>
      <color theme="1"/>
      <name val="Mudir MT"/>
      <charset val="178"/>
    </font>
    <font>
      <sz val="14"/>
      <color theme="1"/>
      <name val="Arial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6"/>
      <color theme="1"/>
      <name val="Arial"/>
      <family val="2"/>
    </font>
    <font>
      <sz val="14"/>
      <color rgb="FFFF0000"/>
      <name val="Arial"/>
      <family val="2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0" fillId="0" borderId="1" xfId="0" applyBorder="1"/>
    <xf numFmtId="166" fontId="6" fillId="0" borderId="1" xfId="0" applyNumberFormat="1" applyFont="1" applyBorder="1" applyAlignment="1">
      <alignment horizontal="center" vertical="center"/>
    </xf>
    <xf numFmtId="10" fontId="6" fillId="0" borderId="1" xfId="1" applyNumberFormat="1" applyFont="1" applyBorder="1" applyAlignment="1">
      <alignment horizontal="center" vertical="center"/>
    </xf>
    <xf numFmtId="10" fontId="9" fillId="0" borderId="1" xfId="1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5"/>
  <sheetViews>
    <sheetView rightToLeft="1" tabSelected="1" zoomScale="90" zoomScaleNormal="90" workbookViewId="0">
      <pane ySplit="1" topLeftCell="A279" activePane="bottomLeft" state="frozen"/>
      <selection pane="bottomLeft" activeCell="A294" sqref="A294"/>
    </sheetView>
  </sheetViews>
  <sheetFormatPr defaultRowHeight="13.8" x14ac:dyDescent="0.25"/>
  <cols>
    <col min="1" max="1" width="17.09765625" bestFit="1" customWidth="1"/>
    <col min="2" max="2" width="17.09765625" customWidth="1"/>
    <col min="5" max="5" width="9.69921875" bestFit="1" customWidth="1"/>
    <col min="6" max="6" width="9.69921875" customWidth="1"/>
    <col min="7" max="7" width="8.59765625" bestFit="1" customWidth="1"/>
    <col min="8" max="8" width="12.8984375" bestFit="1" customWidth="1"/>
    <col min="9" max="9" width="16" bestFit="1" customWidth="1"/>
    <col min="10" max="10" width="14.19921875" bestFit="1" customWidth="1"/>
    <col min="11" max="11" width="17.3984375" bestFit="1" customWidth="1"/>
    <col min="12" max="12" width="21.8984375" bestFit="1" customWidth="1"/>
    <col min="13" max="13" width="10" customWidth="1"/>
    <col min="14" max="14" width="13" bestFit="1" customWidth="1"/>
  </cols>
  <sheetData>
    <row r="1" spans="1:16" ht="30.6" x14ac:dyDescent="0.25">
      <c r="A1" s="1" t="s">
        <v>0</v>
      </c>
      <c r="B1" s="1" t="s">
        <v>12</v>
      </c>
      <c r="C1" s="1" t="s">
        <v>1</v>
      </c>
      <c r="D1" s="1" t="s">
        <v>2</v>
      </c>
      <c r="E1" s="1" t="s">
        <v>4</v>
      </c>
      <c r="F1" s="1" t="s">
        <v>3</v>
      </c>
      <c r="G1" s="1" t="s">
        <v>5</v>
      </c>
      <c r="H1" s="1" t="s">
        <v>11</v>
      </c>
      <c r="I1" s="1" t="s">
        <v>6</v>
      </c>
      <c r="J1" s="1" t="s">
        <v>21</v>
      </c>
      <c r="K1" s="1" t="s">
        <v>7</v>
      </c>
      <c r="L1" s="1" t="s">
        <v>8</v>
      </c>
      <c r="M1" s="18" t="s">
        <v>9</v>
      </c>
      <c r="N1" s="18" t="s">
        <v>10</v>
      </c>
      <c r="O1" s="18" t="s">
        <v>23</v>
      </c>
      <c r="P1" s="18" t="s">
        <v>24</v>
      </c>
    </row>
    <row r="2" spans="1:16" ht="25.2" x14ac:dyDescent="0.25">
      <c r="A2" s="10">
        <v>46026</v>
      </c>
      <c r="B2" s="2" t="s">
        <v>13</v>
      </c>
      <c r="C2" s="11">
        <v>53</v>
      </c>
      <c r="D2" s="12">
        <v>30.5</v>
      </c>
      <c r="E2" s="12">
        <v>30.56</v>
      </c>
      <c r="F2" s="12">
        <v>29.81</v>
      </c>
      <c r="G2" s="12">
        <v>29.82</v>
      </c>
      <c r="H2" s="13">
        <f t="shared" ref="H2:H96" si="0">(G2-D2)/D2</f>
        <v>-2.2295081967213106E-2</v>
      </c>
      <c r="I2" s="14">
        <v>20948075</v>
      </c>
      <c r="J2" s="19">
        <f>I2/4628527999</f>
        <v>4.5258611386872587E-3</v>
      </c>
      <c r="K2" s="14">
        <v>696411</v>
      </c>
      <c r="L2" s="14">
        <v>85527942643</v>
      </c>
      <c r="M2" s="12">
        <f>G2/(15119739368/2868140263)</f>
        <v>5.6567074710080414</v>
      </c>
      <c r="N2" s="15">
        <f>((3.5*2079184011)/2868140263)/G2</f>
        <v>8.508498876097452E-2</v>
      </c>
      <c r="O2" s="22"/>
      <c r="P2" s="22"/>
    </row>
    <row r="3" spans="1:16" ht="25.2" x14ac:dyDescent="0.25">
      <c r="A3" s="10">
        <v>46026</v>
      </c>
      <c r="B3" s="2" t="s">
        <v>14</v>
      </c>
      <c r="C3" s="11">
        <v>31</v>
      </c>
      <c r="D3" s="12">
        <v>51</v>
      </c>
      <c r="E3" s="12">
        <v>51.45</v>
      </c>
      <c r="F3" s="12">
        <v>49.82</v>
      </c>
      <c r="G3" s="12">
        <v>50</v>
      </c>
      <c r="H3" s="13">
        <f t="shared" si="0"/>
        <v>-1.9607843137254902E-2</v>
      </c>
      <c r="I3" s="14">
        <v>37946082</v>
      </c>
      <c r="J3" s="19">
        <v>8.9999999999999993E-3</v>
      </c>
      <c r="K3" s="14">
        <v>754286</v>
      </c>
      <c r="L3" s="14">
        <v>63093786000</v>
      </c>
      <c r="M3" s="12">
        <f>G3/(9352763248/1261875720)</f>
        <v>6.746004825204146</v>
      </c>
      <c r="N3" s="15">
        <f>6/G3</f>
        <v>0.12</v>
      </c>
      <c r="O3" s="22"/>
      <c r="P3" s="22"/>
    </row>
    <row r="4" spans="1:16" ht="25.2" x14ac:dyDescent="0.25">
      <c r="A4" s="10">
        <v>46027</v>
      </c>
      <c r="B4" s="2" t="s">
        <v>13</v>
      </c>
      <c r="C4" s="11">
        <v>57</v>
      </c>
      <c r="D4" s="11">
        <v>29.82</v>
      </c>
      <c r="E4" s="12">
        <v>30</v>
      </c>
      <c r="F4" s="12">
        <v>29.05</v>
      </c>
      <c r="G4" s="12">
        <v>29.16</v>
      </c>
      <c r="H4" s="13">
        <f t="shared" si="0"/>
        <v>-2.2132796780684111E-2</v>
      </c>
      <c r="I4" s="14">
        <v>24818453</v>
      </c>
      <c r="J4" s="19">
        <f>I4/6160673532</f>
        <v>4.0285291650477935E-3</v>
      </c>
      <c r="K4" s="14">
        <v>843939</v>
      </c>
      <c r="L4" s="14">
        <v>83634970069</v>
      </c>
      <c r="M4" s="12">
        <f>G4/(15119739368/2868140263)</f>
        <v>5.5315087141044428</v>
      </c>
      <c r="N4" s="15">
        <f>((3.5*2079184011)/2868140263)/G4</f>
        <v>8.7010780687663242E-2</v>
      </c>
      <c r="O4" s="22"/>
      <c r="P4" s="22"/>
    </row>
    <row r="5" spans="1:16" ht="25.2" x14ac:dyDescent="0.25">
      <c r="A5" s="10">
        <v>46027</v>
      </c>
      <c r="B5" s="2" t="s">
        <v>14</v>
      </c>
      <c r="C5" s="11">
        <v>30</v>
      </c>
      <c r="D5" s="12">
        <v>50</v>
      </c>
      <c r="E5" s="12">
        <v>50.4</v>
      </c>
      <c r="F5" s="12">
        <v>48.9</v>
      </c>
      <c r="G5" s="12">
        <v>49.02</v>
      </c>
      <c r="H5" s="13">
        <f t="shared" si="0"/>
        <v>-1.9599999999999937E-2</v>
      </c>
      <c r="I5" s="14">
        <v>52843916</v>
      </c>
      <c r="J5" s="19">
        <f>I5/6160673532</f>
        <v>8.5776199185878237E-3</v>
      </c>
      <c r="K5" s="14">
        <v>1069075</v>
      </c>
      <c r="L5" s="14">
        <v>61857147794</v>
      </c>
      <c r="M5" s="12">
        <f>G5/(9352763248/1261875720)</f>
        <v>6.6137831306301447</v>
      </c>
      <c r="N5" s="15">
        <f>6/G5</f>
        <v>0.12239902080783353</v>
      </c>
      <c r="O5" s="22"/>
      <c r="P5" s="22"/>
    </row>
    <row r="6" spans="1:16" ht="25.2" x14ac:dyDescent="0.25">
      <c r="A6" s="10">
        <v>46028</v>
      </c>
      <c r="B6" s="2" t="s">
        <v>13</v>
      </c>
      <c r="C6" s="11">
        <v>65</v>
      </c>
      <c r="D6" s="12">
        <v>29.16</v>
      </c>
      <c r="E6" s="12">
        <v>30.08</v>
      </c>
      <c r="F6" s="12">
        <v>29.23</v>
      </c>
      <c r="G6" s="12">
        <v>30</v>
      </c>
      <c r="H6" s="13">
        <f t="shared" si="0"/>
        <v>2.8806584362139911E-2</v>
      </c>
      <c r="I6" s="14">
        <v>17552743</v>
      </c>
      <c r="J6" s="19">
        <f>I6/4750869089</f>
        <v>3.6946383222053038E-3</v>
      </c>
      <c r="K6" s="14">
        <v>589582</v>
      </c>
      <c r="L6" s="14">
        <v>86044207890</v>
      </c>
      <c r="M6" s="12">
        <f>G6/(15119739368/2868140263)</f>
        <v>5.690852586527205</v>
      </c>
      <c r="N6" s="15">
        <f>((3.5*2079184011)/2868140263)/G6</f>
        <v>8.457447882840867E-2</v>
      </c>
      <c r="O6" s="22"/>
      <c r="P6" s="22"/>
    </row>
    <row r="7" spans="1:16" ht="25.2" x14ac:dyDescent="0.25">
      <c r="A7" s="10">
        <v>46028</v>
      </c>
      <c r="B7" s="2" t="s">
        <v>14</v>
      </c>
      <c r="C7" s="11">
        <v>49</v>
      </c>
      <c r="D7" s="12">
        <v>49.02</v>
      </c>
      <c r="E7" s="12">
        <v>50.5</v>
      </c>
      <c r="F7" s="12">
        <v>49.08</v>
      </c>
      <c r="G7" s="12">
        <v>50.5</v>
      </c>
      <c r="H7" s="13">
        <f t="shared" si="0"/>
        <v>3.0191758465932205E-2</v>
      </c>
      <c r="I7" s="14">
        <v>27454696</v>
      </c>
      <c r="J7" s="19">
        <f>I7/4750869089</f>
        <v>5.7788786610785941E-3</v>
      </c>
      <c r="K7" s="14">
        <v>548300</v>
      </c>
      <c r="L7" s="14">
        <v>63724723860</v>
      </c>
      <c r="M7" s="12">
        <f>G7/(9352763248/1261875720)</f>
        <v>6.8134648734561871</v>
      </c>
      <c r="N7" s="15">
        <f>6/G7</f>
        <v>0.11881188118811881</v>
      </c>
      <c r="O7" s="22"/>
      <c r="P7" s="22"/>
    </row>
    <row r="8" spans="1:16" ht="25.2" x14ac:dyDescent="0.25">
      <c r="A8" s="10">
        <v>46030</v>
      </c>
      <c r="B8" s="2" t="s">
        <v>13</v>
      </c>
      <c r="C8" s="11">
        <v>47</v>
      </c>
      <c r="D8" s="12">
        <v>30</v>
      </c>
      <c r="E8" s="12">
        <v>30.97</v>
      </c>
      <c r="F8" s="12">
        <v>30</v>
      </c>
      <c r="G8" s="12">
        <v>30.22</v>
      </c>
      <c r="H8" s="13">
        <f t="shared" si="0"/>
        <v>7.333333333333295E-3</v>
      </c>
      <c r="I8" s="14">
        <v>27589945</v>
      </c>
      <c r="J8" s="19">
        <f>I8/5724552880</f>
        <v>4.8195807739660531E-3</v>
      </c>
      <c r="K8" s="14">
        <v>912579</v>
      </c>
      <c r="L8" s="14">
        <v>86675198748</v>
      </c>
      <c r="M8" s="12">
        <f>G8/(15119739368/2868140263)</f>
        <v>5.732585505495071</v>
      </c>
      <c r="N8" s="15">
        <f>((3.5*2079184011)/2868140263)/G8</f>
        <v>8.3958781100339525E-2</v>
      </c>
      <c r="O8" s="22"/>
      <c r="P8" s="22"/>
    </row>
    <row r="9" spans="1:16" ht="25.2" x14ac:dyDescent="0.25">
      <c r="A9" s="10">
        <v>46030</v>
      </c>
      <c r="B9" s="2" t="s">
        <v>14</v>
      </c>
      <c r="C9" s="11">
        <v>9</v>
      </c>
      <c r="D9" s="12">
        <v>50.5</v>
      </c>
      <c r="E9" s="12">
        <v>52.55</v>
      </c>
      <c r="F9" s="12">
        <v>50.51</v>
      </c>
      <c r="G9" s="12">
        <v>52.23</v>
      </c>
      <c r="H9" s="13">
        <f t="shared" si="0"/>
        <v>3.4257425742574198E-2</v>
      </c>
      <c r="I9" s="14">
        <v>146053143</v>
      </c>
      <c r="J9" s="19">
        <v>2.7E-2</v>
      </c>
      <c r="K9" s="14">
        <v>2821271</v>
      </c>
      <c r="L9" s="14">
        <v>65907768856</v>
      </c>
      <c r="M9" s="12">
        <f>G9/(9352763248/1261875720)</f>
        <v>7.0468766404082501</v>
      </c>
      <c r="N9" s="15">
        <f>6/G9</f>
        <v>0.11487650775416428</v>
      </c>
      <c r="O9" s="22"/>
      <c r="P9" s="22"/>
    </row>
    <row r="10" spans="1:16" ht="25.2" x14ac:dyDescent="0.25">
      <c r="A10" s="10">
        <v>46033</v>
      </c>
      <c r="B10" s="2" t="s">
        <v>13</v>
      </c>
      <c r="C10" s="11">
        <v>55</v>
      </c>
      <c r="D10" s="12">
        <v>30.22</v>
      </c>
      <c r="E10" s="12">
        <v>30.5</v>
      </c>
      <c r="F10" s="12">
        <v>30.06</v>
      </c>
      <c r="G10" s="12">
        <v>30.15</v>
      </c>
      <c r="H10" s="13">
        <f t="shared" si="0"/>
        <v>-2.3163467902051716E-3</v>
      </c>
      <c r="I10" s="14">
        <v>23417518</v>
      </c>
      <c r="J10" s="19">
        <f>I10/5791290648</f>
        <v>4.043574985843121E-3</v>
      </c>
      <c r="K10" s="14">
        <v>774495</v>
      </c>
      <c r="L10" s="14">
        <v>86474428929</v>
      </c>
      <c r="M10" s="12">
        <f>G10/(15119739368/2868140263)</f>
        <v>5.7193068494598407</v>
      </c>
      <c r="N10" s="15">
        <f>((3.5*2079184011)/2868140263)/G10</f>
        <v>8.4153710277023563E-2</v>
      </c>
      <c r="O10" s="22"/>
      <c r="P10" s="22"/>
    </row>
    <row r="11" spans="1:16" ht="25.2" x14ac:dyDescent="0.25">
      <c r="A11" s="10">
        <v>46033</v>
      </c>
      <c r="B11" s="2" t="s">
        <v>14</v>
      </c>
      <c r="C11" s="11">
        <v>7</v>
      </c>
      <c r="D11" s="12">
        <v>52.23</v>
      </c>
      <c r="E11" s="12">
        <v>53.5</v>
      </c>
      <c r="F11" s="12">
        <v>51.82</v>
      </c>
      <c r="G11" s="12">
        <v>53.25</v>
      </c>
      <c r="H11" s="13">
        <f t="shared" si="0"/>
        <v>1.9529006318207986E-2</v>
      </c>
      <c r="I11" s="14">
        <v>144601427</v>
      </c>
      <c r="J11" s="19">
        <v>2.5999999999999999E-2</v>
      </c>
      <c r="K11" s="14">
        <v>2736784</v>
      </c>
      <c r="L11" s="14">
        <v>67194882090</v>
      </c>
      <c r="M11" s="12">
        <f>G11/(9352763248/1261875720)</f>
        <v>7.184495138842415</v>
      </c>
      <c r="N11" s="15">
        <f>6/G11</f>
        <v>0.11267605633802817</v>
      </c>
      <c r="O11" s="22"/>
      <c r="P11" s="22"/>
    </row>
    <row r="12" spans="1:16" ht="25.2" x14ac:dyDescent="0.25">
      <c r="A12" s="10">
        <v>46034</v>
      </c>
      <c r="B12" s="2" t="s">
        <v>13</v>
      </c>
      <c r="C12" s="11">
        <v>14</v>
      </c>
      <c r="D12" s="12">
        <v>30.15</v>
      </c>
      <c r="E12" s="12">
        <v>31.35</v>
      </c>
      <c r="F12" s="12">
        <v>30.03</v>
      </c>
      <c r="G12" s="12">
        <v>30.9</v>
      </c>
      <c r="H12" s="13">
        <f t="shared" si="0"/>
        <v>2.4875621890547265E-2</v>
      </c>
      <c r="I12" s="14">
        <v>99026960</v>
      </c>
      <c r="J12" s="19">
        <v>1.4999999999999999E-2</v>
      </c>
      <c r="K12" s="14">
        <v>3209754</v>
      </c>
      <c r="L12" s="14">
        <v>88625534127</v>
      </c>
      <c r="M12" s="12">
        <f>G12/(15119739368/2868140263)</f>
        <v>5.8615781641230207</v>
      </c>
      <c r="N12" s="15">
        <f>((3.5*2079184011)/2868140263)/G12</f>
        <v>8.2111144493600657E-2</v>
      </c>
      <c r="O12" s="22"/>
      <c r="P12" s="22"/>
    </row>
    <row r="13" spans="1:16" ht="25.2" x14ac:dyDescent="0.25">
      <c r="A13" s="10">
        <v>46034</v>
      </c>
      <c r="B13" s="2" t="s">
        <v>14</v>
      </c>
      <c r="C13" s="11">
        <v>13</v>
      </c>
      <c r="D13" s="12">
        <v>53.25</v>
      </c>
      <c r="E13" s="12">
        <v>53.65</v>
      </c>
      <c r="F13" s="12">
        <v>51.5</v>
      </c>
      <c r="G13" s="12">
        <v>52.03</v>
      </c>
      <c r="H13" s="13">
        <f t="shared" si="0"/>
        <v>-2.2910798122065708E-2</v>
      </c>
      <c r="I13" s="14">
        <v>106204452</v>
      </c>
      <c r="J13" s="19">
        <v>1.6E-2</v>
      </c>
      <c r="K13" s="14">
        <v>2012783</v>
      </c>
      <c r="L13" s="14">
        <v>65655393712</v>
      </c>
      <c r="M13" s="12">
        <f>G13/(9352763248/1261875720)</f>
        <v>7.0198926211074344</v>
      </c>
      <c r="N13" s="15">
        <f>6/G13</f>
        <v>0.11531808571977704</v>
      </c>
      <c r="O13" s="22"/>
      <c r="P13" s="22"/>
    </row>
    <row r="14" spans="1:16" ht="25.2" x14ac:dyDescent="0.25">
      <c r="A14" s="10">
        <v>46035</v>
      </c>
      <c r="B14" s="2" t="s">
        <v>13</v>
      </c>
      <c r="C14" s="11">
        <v>36</v>
      </c>
      <c r="D14" s="12">
        <v>30.9</v>
      </c>
      <c r="E14" s="12">
        <v>31</v>
      </c>
      <c r="F14" s="12">
        <v>29.51</v>
      </c>
      <c r="G14" s="12">
        <v>29.51</v>
      </c>
      <c r="H14" s="13">
        <f t="shared" si="0"/>
        <v>-4.498381877022644E-2</v>
      </c>
      <c r="I14" s="14">
        <v>36921837</v>
      </c>
      <c r="J14" s="19">
        <v>7.0000000000000001E-3</v>
      </c>
      <c r="K14" s="14">
        <v>1217983</v>
      </c>
      <c r="L14" s="14">
        <f>G14*2868140263</f>
        <v>84638819161.130005</v>
      </c>
      <c r="M14" s="12">
        <f>G14/(15119739368/2868140263)</f>
        <v>5.5979019942805941</v>
      </c>
      <c r="N14" s="15">
        <f>((3.5*2079184011)/2868140263)/G14</f>
        <v>8.5978799215596743E-2</v>
      </c>
      <c r="O14" s="22"/>
      <c r="P14" s="22"/>
    </row>
    <row r="15" spans="1:16" ht="25.2" x14ac:dyDescent="0.25">
      <c r="A15" s="10">
        <v>46035</v>
      </c>
      <c r="B15" s="2" t="s">
        <v>14</v>
      </c>
      <c r="C15" s="11">
        <v>24</v>
      </c>
      <c r="D15" s="12">
        <v>52.03</v>
      </c>
      <c r="E15" s="12">
        <v>52.49</v>
      </c>
      <c r="F15" s="12">
        <v>51</v>
      </c>
      <c r="G15" s="12">
        <v>51.01</v>
      </c>
      <c r="H15" s="13">
        <f t="shared" si="0"/>
        <v>-1.9604074572362157E-2</v>
      </c>
      <c r="I15" s="14">
        <v>52973017</v>
      </c>
      <c r="J15" s="19">
        <v>0.01</v>
      </c>
      <c r="K15" s="14">
        <v>1027256</v>
      </c>
      <c r="L15" s="14">
        <f>G15*1261875720</f>
        <v>64368280477.199997</v>
      </c>
      <c r="M15" s="12">
        <f>G15/(9352763248/1261875720)</f>
        <v>6.8822741226732695</v>
      </c>
      <c r="N15" s="15">
        <f>6/G15</f>
        <v>0.1176239952950402</v>
      </c>
      <c r="O15" s="22"/>
      <c r="P15" s="22"/>
    </row>
    <row r="16" spans="1:16" ht="25.2" x14ac:dyDescent="0.25">
      <c r="A16" s="10">
        <v>46036</v>
      </c>
      <c r="B16" s="2" t="s">
        <v>13</v>
      </c>
      <c r="C16" s="11">
        <v>48</v>
      </c>
      <c r="D16" s="12">
        <v>29.51</v>
      </c>
      <c r="E16" s="12">
        <v>29.84</v>
      </c>
      <c r="F16" s="12">
        <v>28.71</v>
      </c>
      <c r="G16" s="12">
        <v>29.04</v>
      </c>
      <c r="H16" s="13">
        <f t="shared" si="0"/>
        <v>-1.5926804473060059E-2</v>
      </c>
      <c r="I16" s="14">
        <v>22327610</v>
      </c>
      <c r="J16" s="19">
        <f>I16/4729091131</f>
        <v>4.721332150619535E-3</v>
      </c>
      <c r="K16" s="14">
        <v>760543</v>
      </c>
      <c r="L16" s="14">
        <f>G16*2868140263</f>
        <v>83290793237.520004</v>
      </c>
      <c r="M16" s="12">
        <f>G16/(15119739368/2868140263)</f>
        <v>5.5087453037583343</v>
      </c>
      <c r="N16" s="15">
        <f>((3.5*2079184011)/2868140263)/G16</f>
        <v>8.737032936819078E-2</v>
      </c>
      <c r="O16" s="22"/>
      <c r="P16" s="22"/>
    </row>
    <row r="17" spans="1:16" ht="25.2" x14ac:dyDescent="0.25">
      <c r="A17" s="10">
        <v>46036</v>
      </c>
      <c r="B17" s="2" t="s">
        <v>14</v>
      </c>
      <c r="C17" s="11">
        <v>16</v>
      </c>
      <c r="D17" s="12">
        <v>51.01</v>
      </c>
      <c r="E17" s="12">
        <v>51</v>
      </c>
      <c r="F17" s="12">
        <v>49.4</v>
      </c>
      <c r="G17" s="12">
        <v>50.23</v>
      </c>
      <c r="H17" s="13">
        <f t="shared" si="0"/>
        <v>-1.5291119388355248E-2</v>
      </c>
      <c r="I17" s="14">
        <v>61216083</v>
      </c>
      <c r="J17" s="19">
        <v>1.4E-2</v>
      </c>
      <c r="K17" s="14">
        <v>1221248</v>
      </c>
      <c r="L17" s="14">
        <f>G17*1261875720</f>
        <v>63384017415.599998</v>
      </c>
      <c r="M17" s="12">
        <f>G17/(9352763248/1261875720)</f>
        <v>6.7770364474000839</v>
      </c>
      <c r="N17" s="15">
        <f>6/G17</f>
        <v>0.11945052757316346</v>
      </c>
      <c r="O17" s="22"/>
      <c r="P17" s="22"/>
    </row>
    <row r="18" spans="1:16" ht="25.2" x14ac:dyDescent="0.25">
      <c r="A18" s="10">
        <v>46037</v>
      </c>
      <c r="B18" s="2" t="s">
        <v>13</v>
      </c>
      <c r="C18" s="11">
        <v>45</v>
      </c>
      <c r="D18" s="12">
        <v>29.04</v>
      </c>
      <c r="E18" s="12">
        <v>29.6</v>
      </c>
      <c r="F18" s="12">
        <v>29</v>
      </c>
      <c r="G18" s="12">
        <v>29.27</v>
      </c>
      <c r="H18" s="13">
        <f t="shared" si="0"/>
        <v>7.9201101928374797E-3</v>
      </c>
      <c r="I18" s="14">
        <v>21635422</v>
      </c>
      <c r="J18" s="19">
        <f>I18/4766972599</f>
        <v>4.538608425091138E-3</v>
      </c>
      <c r="K18" s="14">
        <v>737937</v>
      </c>
      <c r="L18" s="14">
        <f>G18*2868140263</f>
        <v>83950465498.009995</v>
      </c>
      <c r="M18" s="12">
        <f>G18/(15119739368/2868140263)</f>
        <v>5.5523751735883762</v>
      </c>
      <c r="N18" s="15">
        <f>((3.5*2079184011)/2868140263)/G18</f>
        <v>8.6683784245037934E-2</v>
      </c>
      <c r="O18" s="22"/>
      <c r="P18" s="22"/>
    </row>
    <row r="19" spans="1:16" ht="25.2" x14ac:dyDescent="0.25">
      <c r="A19" s="10">
        <v>46037</v>
      </c>
      <c r="B19" s="2" t="s">
        <v>14</v>
      </c>
      <c r="C19" s="11">
        <v>11</v>
      </c>
      <c r="D19" s="12">
        <v>50.23</v>
      </c>
      <c r="E19" s="12">
        <v>51</v>
      </c>
      <c r="F19" s="12">
        <v>49.01</v>
      </c>
      <c r="G19" s="12">
        <v>50.02</v>
      </c>
      <c r="H19" s="13">
        <f t="shared" si="0"/>
        <v>-4.1807684650605964E-3</v>
      </c>
      <c r="I19" s="14">
        <v>83573288</v>
      </c>
      <c r="J19" s="19">
        <f>I19/4766972599</f>
        <v>1.7531732407593811E-2</v>
      </c>
      <c r="K19" s="14">
        <v>1672695</v>
      </c>
      <c r="L19" s="14">
        <f>G19*1261875720</f>
        <v>63119023514.400002</v>
      </c>
      <c r="M19" s="12">
        <f>G19/(9352763248/1261875720)</f>
        <v>6.7487032271342278</v>
      </c>
      <c r="N19" s="15">
        <f>6/G19</f>
        <v>0.11995201919232307</v>
      </c>
      <c r="O19" s="22"/>
      <c r="P19" s="22"/>
    </row>
    <row r="20" spans="1:16" ht="25.2" x14ac:dyDescent="0.25">
      <c r="A20" s="10">
        <v>46040</v>
      </c>
      <c r="B20" s="2" t="s">
        <v>13</v>
      </c>
      <c r="C20" s="11">
        <v>35</v>
      </c>
      <c r="D20" s="12">
        <v>29.27</v>
      </c>
      <c r="E20" s="12">
        <v>29.79</v>
      </c>
      <c r="F20" s="12">
        <v>29.25</v>
      </c>
      <c r="G20" s="12">
        <v>29.49</v>
      </c>
      <c r="H20" s="13">
        <f t="shared" si="0"/>
        <v>7.51622822002046E-3</v>
      </c>
      <c r="I20" s="14">
        <v>19667556</v>
      </c>
      <c r="J20" s="19">
        <v>7.0000000000000001E-3</v>
      </c>
      <c r="K20" s="14">
        <v>667809</v>
      </c>
      <c r="L20" s="14">
        <f>G20*2868140263</f>
        <v>84581456355.869995</v>
      </c>
      <c r="M20" s="12">
        <f>G20/(15119739368/2868140263)</f>
        <v>5.5941080925562421</v>
      </c>
      <c r="N20" s="15">
        <f>((3.5*2079184011)/2868140263)/G20</f>
        <v>8.6037109693192962E-2</v>
      </c>
      <c r="O20" s="22"/>
      <c r="P20" s="22"/>
    </row>
    <row r="21" spans="1:16" ht="25.2" x14ac:dyDescent="0.25">
      <c r="A21" s="10">
        <v>46040</v>
      </c>
      <c r="B21" s="2" t="s">
        <v>14</v>
      </c>
      <c r="C21" s="11">
        <v>5</v>
      </c>
      <c r="D21" s="12">
        <v>50.02</v>
      </c>
      <c r="E21" s="12">
        <v>52.49</v>
      </c>
      <c r="F21" s="12">
        <v>50.03</v>
      </c>
      <c r="G21" s="12">
        <v>51.8</v>
      </c>
      <c r="H21" s="13">
        <f t="shared" si="0"/>
        <v>3.558576569372239E-2</v>
      </c>
      <c r="I21" s="14">
        <v>96721558</v>
      </c>
      <c r="J21" s="20">
        <v>3.6999999999999998E-2</v>
      </c>
      <c r="K21" s="14">
        <v>1893569</v>
      </c>
      <c r="L21" s="14">
        <f>G21*1261875720</f>
        <v>65365162296</v>
      </c>
      <c r="M21" s="12">
        <f>G21/(9352763248/1261875720)</f>
        <v>6.9888609989114947</v>
      </c>
      <c r="N21" s="15">
        <f>6/G21</f>
        <v>0.11583011583011583</v>
      </c>
      <c r="O21" s="22"/>
      <c r="P21" s="22"/>
    </row>
    <row r="22" spans="1:16" ht="25.2" x14ac:dyDescent="0.25">
      <c r="A22" s="10">
        <v>46041</v>
      </c>
      <c r="B22" s="2" t="s">
        <v>13</v>
      </c>
      <c r="C22" s="11">
        <v>47</v>
      </c>
      <c r="D22" s="12">
        <v>29.49</v>
      </c>
      <c r="E22" s="12">
        <v>29.9</v>
      </c>
      <c r="F22" s="12">
        <v>29.4</v>
      </c>
      <c r="G22" s="12">
        <v>29.86</v>
      </c>
      <c r="H22" s="13">
        <f t="shared" si="0"/>
        <v>1.2546625974906783E-2</v>
      </c>
      <c r="I22" s="14">
        <v>25389820</v>
      </c>
      <c r="J22" s="19">
        <f>I22/5945358555</f>
        <v>4.2705279698643846E-3</v>
      </c>
      <c r="K22" s="14">
        <v>854492</v>
      </c>
      <c r="L22" s="14">
        <f>G22*2868140263</f>
        <v>85642668253.179993</v>
      </c>
      <c r="M22" s="12">
        <f>G22/(15119739368/2868140263)</f>
        <v>5.6642952744567445</v>
      </c>
      <c r="N22" s="15">
        <f>((3.5*2079184011)/2868140263)/G22</f>
        <v>8.4971010209385814E-2</v>
      </c>
      <c r="O22" s="22"/>
      <c r="P22" s="22"/>
    </row>
    <row r="23" spans="1:16" ht="25.2" x14ac:dyDescent="0.25">
      <c r="A23" s="10">
        <v>46041</v>
      </c>
      <c r="B23" s="2" t="s">
        <v>14</v>
      </c>
      <c r="C23" s="11">
        <v>9</v>
      </c>
      <c r="D23" s="12">
        <v>51.8</v>
      </c>
      <c r="E23" s="12">
        <v>53.39</v>
      </c>
      <c r="F23" s="12">
        <v>51.66</v>
      </c>
      <c r="G23" s="12">
        <v>53.03</v>
      </c>
      <c r="H23" s="13">
        <f t="shared" si="0"/>
        <v>2.3745173745173823E-2</v>
      </c>
      <c r="I23" s="14">
        <v>143220274</v>
      </c>
      <c r="J23" s="19">
        <v>2.5000000000000001E-2</v>
      </c>
      <c r="K23" s="14">
        <v>2721878</v>
      </c>
      <c r="L23" s="14">
        <f>G23*1261875720</f>
        <v>66917269431.599998</v>
      </c>
      <c r="M23" s="12">
        <f>G23/(9352763248/1261875720)</f>
        <v>7.1548127176115175</v>
      </c>
      <c r="N23" s="15">
        <f>6/G23</f>
        <v>0.11314350367716387</v>
      </c>
      <c r="O23" s="22"/>
      <c r="P23" s="22"/>
    </row>
    <row r="24" spans="1:16" ht="25.2" x14ac:dyDescent="0.25">
      <c r="A24" s="10">
        <v>46042</v>
      </c>
      <c r="B24" s="2" t="s">
        <v>13</v>
      </c>
      <c r="C24" s="11">
        <v>35</v>
      </c>
      <c r="D24" s="12">
        <v>29.86</v>
      </c>
      <c r="E24" s="12">
        <v>30.17</v>
      </c>
      <c r="F24" s="12">
        <v>29.33</v>
      </c>
      <c r="G24" s="12">
        <v>29.54</v>
      </c>
      <c r="H24" s="13">
        <f t="shared" si="0"/>
        <v>-1.0716677829872749E-2</v>
      </c>
      <c r="I24" s="14">
        <v>47351745</v>
      </c>
      <c r="J24" s="19">
        <v>7.0000000000000001E-3</v>
      </c>
      <c r="K24" s="14">
        <v>1596219</v>
      </c>
      <c r="L24" s="14">
        <f>G24*2868140263</f>
        <v>84724863369.020004</v>
      </c>
      <c r="M24" s="12">
        <f>G24/(15119739368/2868140263)</f>
        <v>5.6035928468671212</v>
      </c>
      <c r="N24" s="15">
        <f>((3.5*2079184011)/2868140263)/G24</f>
        <v>8.5891481545438741E-2</v>
      </c>
      <c r="O24" s="22"/>
      <c r="P24" s="22"/>
    </row>
    <row r="25" spans="1:16" ht="25.2" x14ac:dyDescent="0.25">
      <c r="A25" s="10">
        <v>46042</v>
      </c>
      <c r="B25" s="2" t="s">
        <v>14</v>
      </c>
      <c r="C25" s="11">
        <v>12</v>
      </c>
      <c r="D25" s="12">
        <v>53.03</v>
      </c>
      <c r="E25" s="12">
        <v>53.88</v>
      </c>
      <c r="F25" s="12">
        <v>52.04</v>
      </c>
      <c r="G25" s="12">
        <v>53.5</v>
      </c>
      <c r="H25" s="13">
        <f t="shared" si="0"/>
        <v>8.8629077880444818E-3</v>
      </c>
      <c r="I25" s="14">
        <v>128393326</v>
      </c>
      <c r="J25" s="19">
        <v>1.7999999999999999E-2</v>
      </c>
      <c r="K25" s="14">
        <v>2419019</v>
      </c>
      <c r="L25" s="14">
        <f>G25*1261875720</f>
        <v>67510351020</v>
      </c>
      <c r="M25" s="12">
        <f>G25/(9352763248/1261875720)</f>
        <v>7.2182251629684355</v>
      </c>
      <c r="N25" s="15">
        <f>6/G25</f>
        <v>0.11214953271028037</v>
      </c>
      <c r="O25" s="22"/>
      <c r="P25" s="22"/>
    </row>
    <row r="26" spans="1:16" ht="25.2" x14ac:dyDescent="0.25">
      <c r="A26" s="10">
        <v>46043</v>
      </c>
      <c r="B26" s="2" t="s">
        <v>13</v>
      </c>
      <c r="C26" s="11">
        <v>29</v>
      </c>
      <c r="D26" s="12">
        <v>29.54</v>
      </c>
      <c r="E26" s="12">
        <v>30.38</v>
      </c>
      <c r="F26" s="12">
        <v>29.25</v>
      </c>
      <c r="G26" s="12">
        <v>30.3</v>
      </c>
      <c r="H26" s="13">
        <f t="shared" si="0"/>
        <v>2.5727826675694027E-2</v>
      </c>
      <c r="I26" s="14">
        <v>61853063</v>
      </c>
      <c r="J26" s="19">
        <f>I26/8588394702</f>
        <v>7.201935302949704E-3</v>
      </c>
      <c r="K26" s="14">
        <v>2065052</v>
      </c>
      <c r="L26" s="14">
        <f>G26*2868140263</f>
        <v>86904649968.900009</v>
      </c>
      <c r="M26" s="12">
        <f>G26/(15119739368/2868140263)</f>
        <v>5.7477611123924772</v>
      </c>
      <c r="N26" s="15">
        <f>((3.5*2079184011)/2868140263)/G26</f>
        <v>8.3737107750899667E-2</v>
      </c>
      <c r="O26" s="22"/>
      <c r="P26" s="22"/>
    </row>
    <row r="27" spans="1:16" ht="25.2" x14ac:dyDescent="0.25">
      <c r="A27" s="10">
        <v>46043</v>
      </c>
      <c r="B27" s="2" t="s">
        <v>14</v>
      </c>
      <c r="C27" s="11">
        <v>2</v>
      </c>
      <c r="D27" s="12">
        <v>53.5</v>
      </c>
      <c r="E27" s="12">
        <v>55.55</v>
      </c>
      <c r="F27" s="12">
        <v>52.8</v>
      </c>
      <c r="G27" s="12">
        <v>55.4</v>
      </c>
      <c r="H27" s="13">
        <f t="shared" si="0"/>
        <v>3.551401869158876E-2</v>
      </c>
      <c r="I27" s="14">
        <v>438614100</v>
      </c>
      <c r="J27" s="20">
        <v>5.2999999999999999E-2</v>
      </c>
      <c r="K27" s="14">
        <v>8019989</v>
      </c>
      <c r="L27" s="14">
        <f>G27*1261875720</f>
        <v>69907914888</v>
      </c>
      <c r="M27" s="12">
        <f>G27/(9352763248/1261875720)</f>
        <v>7.474573346326193</v>
      </c>
      <c r="N27" s="15">
        <f>6/G27</f>
        <v>0.10830324909747292</v>
      </c>
      <c r="O27" s="22"/>
      <c r="P27" s="22"/>
    </row>
    <row r="28" spans="1:16" ht="25.2" x14ac:dyDescent="0.25">
      <c r="A28" s="10">
        <v>46044</v>
      </c>
      <c r="B28" s="2" t="s">
        <v>13</v>
      </c>
      <c r="C28" s="11">
        <v>17</v>
      </c>
      <c r="D28" s="12">
        <v>30.3</v>
      </c>
      <c r="E28" s="12">
        <v>31.47</v>
      </c>
      <c r="F28" s="12">
        <v>30.52</v>
      </c>
      <c r="G28" s="12">
        <v>31.33</v>
      </c>
      <c r="H28" s="13">
        <f t="shared" si="0"/>
        <v>3.3993399339933915E-2</v>
      </c>
      <c r="I28" s="14">
        <v>112992117</v>
      </c>
      <c r="J28" s="19">
        <v>1.6E-2</v>
      </c>
      <c r="K28" s="14">
        <v>3623033</v>
      </c>
      <c r="L28" s="14">
        <f>G28*2868140263</f>
        <v>89858834439.789993</v>
      </c>
      <c r="M28" s="12">
        <f>G28/(15119739368/2868140263)</f>
        <v>5.9431470511965774</v>
      </c>
      <c r="N28" s="15">
        <f>((3.5*2079184011)/2868140263)/G28</f>
        <v>8.0984180174026824E-2</v>
      </c>
      <c r="O28" s="22"/>
      <c r="P28" s="22"/>
    </row>
    <row r="29" spans="1:16" ht="25.2" x14ac:dyDescent="0.25">
      <c r="A29" s="10">
        <v>46044</v>
      </c>
      <c r="B29" s="2" t="s">
        <v>14</v>
      </c>
      <c r="C29" s="11">
        <v>2</v>
      </c>
      <c r="D29" s="12">
        <v>55.4</v>
      </c>
      <c r="E29" s="12">
        <v>59.38</v>
      </c>
      <c r="F29" s="12">
        <v>55.91</v>
      </c>
      <c r="G29" s="12">
        <v>58.94</v>
      </c>
      <c r="H29" s="13">
        <f t="shared" si="0"/>
        <v>6.3898916967509017E-2</v>
      </c>
      <c r="I29" s="14">
        <v>427498121</v>
      </c>
      <c r="J29" s="20">
        <v>6.2E-2</v>
      </c>
      <c r="K29" s="14">
        <v>7364550</v>
      </c>
      <c r="L29" s="14">
        <f>G29*1261875720</f>
        <v>74374954936.800003</v>
      </c>
      <c r="M29" s="12">
        <f>G29/(9352763248/1261875720)</f>
        <v>7.9521904879506469</v>
      </c>
      <c r="N29" s="15">
        <f>6/G29</f>
        <v>0.10179843909060061</v>
      </c>
      <c r="O29" s="22"/>
      <c r="P29" s="22"/>
    </row>
    <row r="30" spans="1:16" ht="25.2" x14ac:dyDescent="0.25">
      <c r="A30" s="10">
        <v>46047</v>
      </c>
      <c r="B30" s="2" t="s">
        <v>13</v>
      </c>
      <c r="C30" s="11">
        <v>6</v>
      </c>
      <c r="D30" s="12">
        <v>31.33</v>
      </c>
      <c r="E30" s="12">
        <v>33.39</v>
      </c>
      <c r="F30" s="12">
        <v>31.95</v>
      </c>
      <c r="G30" s="12">
        <v>32.54</v>
      </c>
      <c r="H30" s="13">
        <f t="shared" si="0"/>
        <v>3.8621129907436991E-2</v>
      </c>
      <c r="I30" s="14">
        <v>179757698</v>
      </c>
      <c r="J30" s="20">
        <v>2.9000000000000001E-2</v>
      </c>
      <c r="K30" s="14">
        <v>5507707</v>
      </c>
      <c r="L30" s="14">
        <f>G30*2868140263</f>
        <v>93329284158.020004</v>
      </c>
      <c r="M30" s="12">
        <f>G30/(15119739368/2868140263)</f>
        <v>6.1726781055198412</v>
      </c>
      <c r="N30" s="15">
        <f>((3.5*2079184011)/2868140263)/G30</f>
        <v>7.7972783185379854E-2</v>
      </c>
      <c r="O30" s="22"/>
      <c r="P30" s="22"/>
    </row>
    <row r="31" spans="1:16" ht="25.2" x14ac:dyDescent="0.25">
      <c r="A31" s="10">
        <v>46047</v>
      </c>
      <c r="B31" s="2" t="s">
        <v>14</v>
      </c>
      <c r="C31" s="11">
        <v>4</v>
      </c>
      <c r="D31" s="12">
        <v>58.94</v>
      </c>
      <c r="E31" s="12">
        <v>61.25</v>
      </c>
      <c r="F31" s="12">
        <v>58.6</v>
      </c>
      <c r="G31" s="12">
        <v>58.8</v>
      </c>
      <c r="H31" s="13">
        <f t="shared" si="0"/>
        <v>-2.3752969121140239E-3</v>
      </c>
      <c r="I31" s="14">
        <v>285224371</v>
      </c>
      <c r="J31" s="20">
        <v>4.5999999999999999E-2</v>
      </c>
      <c r="K31" s="14">
        <v>4768195</v>
      </c>
      <c r="L31" s="14">
        <f>G31*1261875720</f>
        <v>74198292336</v>
      </c>
      <c r="M31" s="12">
        <f>G31/(9352763248/1261875720)</f>
        <v>7.9333016744400746</v>
      </c>
      <c r="N31" s="15">
        <f>6/G31</f>
        <v>0.10204081632653061</v>
      </c>
      <c r="O31" s="22"/>
      <c r="P31" s="22"/>
    </row>
    <row r="32" spans="1:16" ht="25.2" x14ac:dyDescent="0.25">
      <c r="A32" s="10">
        <v>46048</v>
      </c>
      <c r="B32" s="2" t="s">
        <v>13</v>
      </c>
      <c r="C32" s="11">
        <v>20</v>
      </c>
      <c r="D32" s="12">
        <v>32.54</v>
      </c>
      <c r="E32" s="12">
        <v>33.200000000000003</v>
      </c>
      <c r="F32" s="12">
        <v>32.130000000000003</v>
      </c>
      <c r="G32" s="12">
        <v>32.15</v>
      </c>
      <c r="H32" s="13">
        <f t="shared" si="0"/>
        <v>-1.1985248924400756E-2</v>
      </c>
      <c r="I32" s="14">
        <v>79067476</v>
      </c>
      <c r="J32" s="19">
        <v>1.2E-2</v>
      </c>
      <c r="K32" s="14">
        <v>2413030</v>
      </c>
      <c r="L32" s="14">
        <f>G32*2868140263</f>
        <v>92210709455.449997</v>
      </c>
      <c r="M32" s="12">
        <f>G32/(15119739368/2868140263)</f>
        <v>6.0986970218949876</v>
      </c>
      <c r="N32" s="15">
        <f>((3.5*2079184011)/2868140263)/G32</f>
        <v>7.8918642763678395E-2</v>
      </c>
      <c r="O32" s="22"/>
      <c r="P32" s="22"/>
    </row>
    <row r="33" spans="1:16" ht="25.2" x14ac:dyDescent="0.25">
      <c r="A33" s="10">
        <v>46048</v>
      </c>
      <c r="B33" s="2" t="s">
        <v>14</v>
      </c>
      <c r="C33" s="11">
        <v>10</v>
      </c>
      <c r="D33" s="12">
        <v>58.8</v>
      </c>
      <c r="E33" s="12">
        <v>59.6</v>
      </c>
      <c r="F33" s="12">
        <v>58.12</v>
      </c>
      <c r="G33" s="12">
        <v>59</v>
      </c>
      <c r="H33" s="13">
        <f t="shared" si="0"/>
        <v>3.4013605442177355E-3</v>
      </c>
      <c r="I33" s="14">
        <v>157594329</v>
      </c>
      <c r="J33" s="20">
        <v>2.4E-2</v>
      </c>
      <c r="K33" s="14">
        <v>2667034</v>
      </c>
      <c r="L33" s="14">
        <f>G33*1261875720</f>
        <v>74450667480</v>
      </c>
      <c r="M33" s="12">
        <f>G33/(9352763248/1261875720)</f>
        <v>7.9602856937408921</v>
      </c>
      <c r="N33" s="15">
        <f>6/G33</f>
        <v>0.10169491525423729</v>
      </c>
      <c r="O33" s="22"/>
      <c r="P33" s="22"/>
    </row>
    <row r="34" spans="1:16" ht="25.2" x14ac:dyDescent="0.25">
      <c r="A34" s="10">
        <v>46049</v>
      </c>
      <c r="B34" s="2" t="s">
        <v>13</v>
      </c>
      <c r="C34" s="11">
        <v>10</v>
      </c>
      <c r="D34" s="12">
        <v>32.15</v>
      </c>
      <c r="E34" s="12">
        <v>33.25</v>
      </c>
      <c r="F34" s="12">
        <v>31.61</v>
      </c>
      <c r="G34" s="12">
        <v>33</v>
      </c>
      <c r="H34" s="13">
        <f t="shared" si="0"/>
        <v>2.6438569206842968E-2</v>
      </c>
      <c r="I34" s="14">
        <v>146043003</v>
      </c>
      <c r="J34" s="20">
        <v>2.3E-2</v>
      </c>
      <c r="K34" s="14">
        <v>4473421</v>
      </c>
      <c r="L34" s="14">
        <f>G34*2868140263</f>
        <v>94648628679</v>
      </c>
      <c r="M34" s="12">
        <f>G34/(15119739368/2868140263)</f>
        <v>6.259937845179925</v>
      </c>
      <c r="N34" s="15">
        <f>((3.5*2079184011)/2868140263)/G34</f>
        <v>7.688588984400789E-2</v>
      </c>
      <c r="O34" s="22"/>
      <c r="P34" s="22"/>
    </row>
    <row r="35" spans="1:16" ht="25.2" x14ac:dyDescent="0.25">
      <c r="A35" s="10">
        <v>46049</v>
      </c>
      <c r="B35" s="2" t="s">
        <v>14</v>
      </c>
      <c r="C35" s="11">
        <v>4</v>
      </c>
      <c r="D35" s="12">
        <v>59</v>
      </c>
      <c r="E35" s="12">
        <v>63</v>
      </c>
      <c r="F35" s="12">
        <v>58.71</v>
      </c>
      <c r="G35" s="12">
        <v>63</v>
      </c>
      <c r="H35" s="13">
        <f t="shared" si="0"/>
        <v>6.7796610169491525E-2</v>
      </c>
      <c r="I35" s="14">
        <v>328991571</v>
      </c>
      <c r="J35" s="20">
        <v>5.0999999999999997E-2</v>
      </c>
      <c r="K35" s="14">
        <v>5376807</v>
      </c>
      <c r="L35" s="14">
        <f>G35*1261875720</f>
        <v>79498170360</v>
      </c>
      <c r="M35" s="12">
        <f>G35/(9352763248/1261875720)</f>
        <v>8.4999660797572236</v>
      </c>
      <c r="N35" s="15">
        <f>6/G35</f>
        <v>9.5238095238095233E-2</v>
      </c>
      <c r="O35" s="22"/>
      <c r="P35" s="22"/>
    </row>
    <row r="36" spans="1:16" ht="25.2" x14ac:dyDescent="0.25">
      <c r="A36" s="10">
        <v>46050</v>
      </c>
      <c r="B36" s="2" t="s">
        <v>13</v>
      </c>
      <c r="C36" s="11">
        <v>9</v>
      </c>
      <c r="D36" s="12">
        <v>33</v>
      </c>
      <c r="E36" s="12">
        <v>34.4</v>
      </c>
      <c r="F36" s="12">
        <v>32.700000000000003</v>
      </c>
      <c r="G36" s="12">
        <v>33.4</v>
      </c>
      <c r="H36" s="13">
        <f t="shared" si="0"/>
        <v>1.2121212121212078E-2</v>
      </c>
      <c r="I36" s="14">
        <v>210244285</v>
      </c>
      <c r="J36" s="19">
        <v>2.9000000000000001E-2</v>
      </c>
      <c r="K36" s="14">
        <v>6239534</v>
      </c>
      <c r="L36" s="14">
        <f>G36*2868140263</f>
        <v>95795884784.199997</v>
      </c>
      <c r="M36" s="12">
        <f>G36/(15119739368/2868140263)</f>
        <v>6.3358158796669546</v>
      </c>
      <c r="N36" s="15">
        <f>((3.5*2079184011)/2868140263)/G36</f>
        <v>7.5965100744079653E-2</v>
      </c>
      <c r="O36" s="22"/>
      <c r="P36" s="22"/>
    </row>
    <row r="37" spans="1:16" ht="25.2" x14ac:dyDescent="0.25">
      <c r="A37" s="10">
        <v>46050</v>
      </c>
      <c r="B37" s="2" t="s">
        <v>14</v>
      </c>
      <c r="C37" s="11">
        <v>7</v>
      </c>
      <c r="D37" s="12">
        <v>63</v>
      </c>
      <c r="E37" s="12">
        <v>65.7</v>
      </c>
      <c r="F37" s="12">
        <v>63</v>
      </c>
      <c r="G37" s="12">
        <v>64.16</v>
      </c>
      <c r="H37" s="13">
        <f t="shared" si="0"/>
        <v>1.841269841269836E-2</v>
      </c>
      <c r="I37" s="14">
        <v>238087439</v>
      </c>
      <c r="J37" s="19">
        <v>3.3000000000000002E-2</v>
      </c>
      <c r="K37" s="14">
        <v>3704768</v>
      </c>
      <c r="L37" s="14">
        <f>G37*1261875720</f>
        <v>80961946195.199997</v>
      </c>
      <c r="M37" s="12">
        <f>G37/(9352763248/1261875720)</f>
        <v>8.6564733917019598</v>
      </c>
      <c r="N37" s="15">
        <f>6/G37</f>
        <v>9.3516209476309231E-2</v>
      </c>
      <c r="O37" s="22"/>
      <c r="P37" s="22"/>
    </row>
    <row r="38" spans="1:16" ht="25.2" x14ac:dyDescent="0.25">
      <c r="A38" s="10">
        <v>46054</v>
      </c>
      <c r="B38" s="2" t="s">
        <v>13</v>
      </c>
      <c r="C38" s="11">
        <v>13</v>
      </c>
      <c r="D38" s="12">
        <v>33.4</v>
      </c>
      <c r="E38" s="12">
        <v>33.729999999999997</v>
      </c>
      <c r="F38" s="12">
        <v>32.6</v>
      </c>
      <c r="G38" s="12">
        <v>33</v>
      </c>
      <c r="H38" s="13">
        <f t="shared" si="0"/>
        <v>-1.1976047904191574E-2</v>
      </c>
      <c r="I38" s="14">
        <v>70851203</v>
      </c>
      <c r="J38" s="19">
        <v>1.4999999999999999E-2</v>
      </c>
      <c r="K38" s="14">
        <v>2144272</v>
      </c>
      <c r="L38" s="14">
        <f>G38*2868140263</f>
        <v>94648628679</v>
      </c>
      <c r="M38" s="12">
        <f>G38/(15119739368/2868140263)</f>
        <v>6.259937845179925</v>
      </c>
      <c r="N38" s="15">
        <f>((3.5*2079184011)/2868140263)/G38</f>
        <v>7.688588984400789E-2</v>
      </c>
      <c r="O38" s="22"/>
      <c r="P38" s="22"/>
    </row>
    <row r="39" spans="1:16" ht="25.2" x14ac:dyDescent="0.25">
      <c r="A39" s="10">
        <v>46054</v>
      </c>
      <c r="B39" s="2" t="s">
        <v>14</v>
      </c>
      <c r="C39" s="11">
        <v>4</v>
      </c>
      <c r="D39" s="12">
        <v>64.16</v>
      </c>
      <c r="E39" s="12">
        <v>65.489999999999995</v>
      </c>
      <c r="F39" s="12">
        <v>62.72</v>
      </c>
      <c r="G39" s="12">
        <v>65.45</v>
      </c>
      <c r="H39" s="13">
        <f t="shared" si="0"/>
        <v>2.0105985037406581E-2</v>
      </c>
      <c r="I39" s="14">
        <v>160313764</v>
      </c>
      <c r="J39" s="20">
        <v>3.5000000000000003E-2</v>
      </c>
      <c r="K39" s="14">
        <v>2495625</v>
      </c>
      <c r="L39" s="14">
        <f>G39*1261875720</f>
        <v>82589765874</v>
      </c>
      <c r="M39" s="12">
        <f>G39/(9352763248/1261875720)</f>
        <v>8.8305203161922279</v>
      </c>
      <c r="N39" s="15">
        <f>6/G39</f>
        <v>9.1673032849503427E-2</v>
      </c>
      <c r="O39" s="22"/>
      <c r="P39" s="22"/>
    </row>
    <row r="40" spans="1:16" ht="25.2" x14ac:dyDescent="0.25">
      <c r="A40" s="10">
        <v>46055</v>
      </c>
      <c r="B40" s="2" t="s">
        <v>13</v>
      </c>
      <c r="C40" s="11">
        <v>26</v>
      </c>
      <c r="D40" s="12">
        <v>33</v>
      </c>
      <c r="E40" s="12">
        <v>33.200000000000003</v>
      </c>
      <c r="F40" s="12">
        <v>32.46</v>
      </c>
      <c r="G40" s="12">
        <v>32.71</v>
      </c>
      <c r="H40" s="13">
        <f t="shared" si="0"/>
        <v>-8.7878787878787612E-3</v>
      </c>
      <c r="I40" s="14">
        <v>59915758</v>
      </c>
      <c r="J40" s="19">
        <v>8.9999999999999993E-3</v>
      </c>
      <c r="K40" s="14">
        <v>1832908</v>
      </c>
      <c r="L40" s="14">
        <f>G40*2868140263</f>
        <v>93816868002.729996</v>
      </c>
      <c r="M40" s="12">
        <f>G40/(15119739368/2868140263)</f>
        <v>6.2049262701768289</v>
      </c>
      <c r="N40" s="15">
        <f>((3.5*2079184011)/2868140263)/G40</f>
        <v>7.7567544018717821E-2</v>
      </c>
      <c r="O40" s="22"/>
      <c r="P40" s="22"/>
    </row>
    <row r="41" spans="1:16" ht="25.2" x14ac:dyDescent="0.25">
      <c r="A41" s="10">
        <v>46055</v>
      </c>
      <c r="B41" s="2" t="s">
        <v>14</v>
      </c>
      <c r="C41" s="11">
        <v>17</v>
      </c>
      <c r="D41" s="12">
        <v>65.45</v>
      </c>
      <c r="E41" s="12">
        <v>66.489999999999995</v>
      </c>
      <c r="F41" s="12">
        <v>64.14</v>
      </c>
      <c r="G41" s="12">
        <v>66.489999999999995</v>
      </c>
      <c r="H41" s="13">
        <f t="shared" si="0"/>
        <v>1.5889992360580474E-2</v>
      </c>
      <c r="I41" s="14">
        <v>122084717</v>
      </c>
      <c r="J41" s="19">
        <v>1.7999999999999999E-2</v>
      </c>
      <c r="K41" s="14">
        <v>1866619</v>
      </c>
      <c r="L41" s="14">
        <f>G41*1261875720</f>
        <v>83902116622.799988</v>
      </c>
      <c r="M41" s="12">
        <f>G41/(9352763248/1261875720)</f>
        <v>8.9708372165564718</v>
      </c>
      <c r="N41" s="15">
        <f>6/G41</f>
        <v>9.0239133704316452E-2</v>
      </c>
      <c r="O41" s="22"/>
      <c r="P41" s="22"/>
    </row>
    <row r="42" spans="1:16" ht="25.2" x14ac:dyDescent="0.25">
      <c r="A42" s="10">
        <v>46056</v>
      </c>
      <c r="B42" s="2" t="s">
        <v>13</v>
      </c>
      <c r="C42" s="11">
        <v>20</v>
      </c>
      <c r="D42" s="12">
        <v>32.71</v>
      </c>
      <c r="E42" s="12">
        <v>33.5</v>
      </c>
      <c r="F42" s="12">
        <v>32.75</v>
      </c>
      <c r="G42" s="12">
        <v>32.979999999999997</v>
      </c>
      <c r="H42" s="13">
        <f t="shared" si="0"/>
        <v>8.2543564659124432E-3</v>
      </c>
      <c r="I42" s="14">
        <v>95271989</v>
      </c>
      <c r="J42" s="19">
        <f>I42/9622841950</f>
        <v>9.9006083124954583E-3</v>
      </c>
      <c r="K42" s="14">
        <v>2874943</v>
      </c>
      <c r="L42" s="14">
        <f>G42*2868140263</f>
        <v>94591265873.73999</v>
      </c>
      <c r="M42" s="12">
        <f>G42/(15119739368/2868140263)</f>
        <v>6.256143943455573</v>
      </c>
      <c r="N42" s="15">
        <f>((3.5*2079184011)/2868140263)/G42</f>
        <v>7.6932515611044888E-2</v>
      </c>
      <c r="O42" s="22"/>
      <c r="P42" s="22"/>
    </row>
    <row r="43" spans="1:16" ht="25.2" x14ac:dyDescent="0.25">
      <c r="A43" s="10">
        <v>46056</v>
      </c>
      <c r="B43" s="2" t="s">
        <v>14</v>
      </c>
      <c r="C43" s="11">
        <v>13</v>
      </c>
      <c r="D43" s="12">
        <v>66.489999999999995</v>
      </c>
      <c r="E43" s="12">
        <v>68</v>
      </c>
      <c r="F43" s="12">
        <v>65.92</v>
      </c>
      <c r="G43" s="12">
        <v>67.099999999999994</v>
      </c>
      <c r="H43" s="13">
        <f t="shared" si="0"/>
        <v>9.1743119266054964E-3</v>
      </c>
      <c r="I43" s="14">
        <v>168955156</v>
      </c>
      <c r="J43" s="19">
        <f>I43/9622841950</f>
        <v>1.7557719110205275E-2</v>
      </c>
      <c r="K43" s="14">
        <v>2514074</v>
      </c>
      <c r="L43" s="14">
        <f>G43*1261875720</f>
        <v>84671860812</v>
      </c>
      <c r="M43" s="12">
        <f>G43/(9352763248/1261875720)</f>
        <v>9.0531384754239621</v>
      </c>
      <c r="N43" s="15">
        <f>6/G43</f>
        <v>8.9418777943368111E-2</v>
      </c>
      <c r="O43" s="22"/>
      <c r="P43" s="22"/>
    </row>
    <row r="44" spans="1:16" ht="25.2" x14ac:dyDescent="0.25">
      <c r="A44" s="10">
        <v>46057</v>
      </c>
      <c r="B44" s="2" t="s">
        <v>13</v>
      </c>
      <c r="C44" s="11">
        <v>35</v>
      </c>
      <c r="D44" s="12">
        <v>32.979999999999997</v>
      </c>
      <c r="E44" s="12">
        <v>33.24</v>
      </c>
      <c r="F44" s="12">
        <v>32.11</v>
      </c>
      <c r="G44" s="12">
        <v>32.39</v>
      </c>
      <c r="H44" s="13">
        <f t="shared" si="0"/>
        <v>-1.7889630078835549E-2</v>
      </c>
      <c r="I44" s="14">
        <v>56784474</v>
      </c>
      <c r="J44" s="19">
        <v>7.0000000000000001E-3</v>
      </c>
      <c r="K44" s="14">
        <v>1739117</v>
      </c>
      <c r="L44" s="14">
        <f>G44*2868140263</f>
        <v>92899063118.570007</v>
      </c>
      <c r="M44" s="12">
        <f>G44/(15119739368/2868140263)</f>
        <v>6.1442238425872056</v>
      </c>
      <c r="N44" s="15">
        <f>((3.5*2079184011)/2868140263)/G44</f>
        <v>7.8333879742274168E-2</v>
      </c>
      <c r="O44" s="22"/>
      <c r="P44" s="22"/>
    </row>
    <row r="45" spans="1:16" ht="25.2" x14ac:dyDescent="0.25">
      <c r="A45" s="10">
        <v>46057</v>
      </c>
      <c r="B45" s="2" t="s">
        <v>14</v>
      </c>
      <c r="C45" s="11">
        <v>8</v>
      </c>
      <c r="D45" s="12">
        <v>67.099999999999994</v>
      </c>
      <c r="E45" s="12">
        <v>67.69</v>
      </c>
      <c r="F45" s="12">
        <v>65</v>
      </c>
      <c r="G45" s="12">
        <v>65.97</v>
      </c>
      <c r="H45" s="13">
        <f t="shared" si="0"/>
        <v>-1.6840536512667596E-2</v>
      </c>
      <c r="I45" s="14">
        <v>193119924</v>
      </c>
      <c r="J45" s="19">
        <v>2.3E-2</v>
      </c>
      <c r="K45" s="14">
        <v>2928616</v>
      </c>
      <c r="L45" s="14">
        <f>G45*1261875720</f>
        <v>83245941248.399994</v>
      </c>
      <c r="M45" s="12">
        <f>G45/(9352763248/1261875720)</f>
        <v>8.9006787663743498</v>
      </c>
      <c r="N45" s="15">
        <f>6/G45</f>
        <v>9.0950432014552066E-2</v>
      </c>
      <c r="O45" s="22"/>
      <c r="P45" s="22"/>
    </row>
    <row r="46" spans="1:16" ht="25.2" x14ac:dyDescent="0.25">
      <c r="A46" s="10">
        <v>46058</v>
      </c>
      <c r="B46" s="2" t="s">
        <v>13</v>
      </c>
      <c r="C46" s="11">
        <v>36</v>
      </c>
      <c r="D46" s="12">
        <v>32.39</v>
      </c>
      <c r="E46" s="12">
        <v>32.619999999999997</v>
      </c>
      <c r="F46" s="12">
        <v>31.9</v>
      </c>
      <c r="G46" s="12">
        <v>32.01</v>
      </c>
      <c r="H46" s="13">
        <f t="shared" si="0"/>
        <v>-1.1732016054337838E-2</v>
      </c>
      <c r="I46" s="14">
        <v>45597141</v>
      </c>
      <c r="J46" s="19">
        <f>I46/7939087379</f>
        <v>5.7433731137171802E-3</v>
      </c>
      <c r="K46" s="14">
        <v>1415978</v>
      </c>
      <c r="L46" s="14">
        <f>G46*2868140263</f>
        <v>91809169818.62999</v>
      </c>
      <c r="M46" s="12">
        <f>G46/(15119739368/2868140263)</f>
        <v>6.0721397098245271</v>
      </c>
      <c r="N46" s="15">
        <f>((3.5*2079184011)/2868140263)/G46</f>
        <v>7.926380396289473E-2</v>
      </c>
      <c r="O46" s="22"/>
      <c r="P46" s="22"/>
    </row>
    <row r="47" spans="1:16" ht="25.2" x14ac:dyDescent="0.25">
      <c r="A47" s="10">
        <v>46058</v>
      </c>
      <c r="B47" s="2" t="s">
        <v>14</v>
      </c>
      <c r="C47" s="11">
        <v>18</v>
      </c>
      <c r="D47" s="12">
        <v>65.97</v>
      </c>
      <c r="E47" s="12">
        <v>66.430000000000007</v>
      </c>
      <c r="F47" s="12">
        <v>65</v>
      </c>
      <c r="G47" s="12">
        <v>65.66</v>
      </c>
      <c r="H47" s="13">
        <f t="shared" si="0"/>
        <v>-4.6991056540852246E-3</v>
      </c>
      <c r="I47" s="14">
        <v>95843227</v>
      </c>
      <c r="J47" s="19">
        <v>1.2999999999999999E-2</v>
      </c>
      <c r="K47" s="14">
        <v>1460413</v>
      </c>
      <c r="L47" s="14">
        <f>G47*1261875720</f>
        <v>82854759775.199997</v>
      </c>
      <c r="M47" s="12">
        <f>G47/(9352763248/1261875720)</f>
        <v>8.8588535364580832</v>
      </c>
      <c r="N47" s="15">
        <f>6/G47</f>
        <v>9.1379835516296082E-2</v>
      </c>
      <c r="O47" s="22"/>
      <c r="P47" s="22"/>
    </row>
    <row r="48" spans="1:16" ht="25.2" x14ac:dyDescent="0.25">
      <c r="A48" s="10">
        <v>46061</v>
      </c>
      <c r="B48" s="2" t="s">
        <v>13</v>
      </c>
      <c r="C48" s="11">
        <v>34</v>
      </c>
      <c r="D48" s="12">
        <v>32.01</v>
      </c>
      <c r="E48" s="12">
        <v>33</v>
      </c>
      <c r="F48" s="12">
        <v>32</v>
      </c>
      <c r="G48" s="12">
        <v>33</v>
      </c>
      <c r="H48" s="13">
        <f t="shared" si="0"/>
        <v>3.0927835051546455E-2</v>
      </c>
      <c r="I48" s="14">
        <v>61116793</v>
      </c>
      <c r="J48" s="19">
        <v>8.9999999999999993E-3</v>
      </c>
      <c r="K48" s="14">
        <v>1868232</v>
      </c>
      <c r="L48" s="14">
        <f>G48*2868140263</f>
        <v>94648628679</v>
      </c>
      <c r="M48" s="12">
        <f>G48/(15119739368/2868140263)</f>
        <v>6.259937845179925</v>
      </c>
      <c r="N48" s="15">
        <f>((3.5*2079184011)/2868140263)/G48</f>
        <v>7.688588984400789E-2</v>
      </c>
      <c r="O48" s="22"/>
      <c r="P48" s="22"/>
    </row>
    <row r="49" spans="1:16" ht="25.2" x14ac:dyDescent="0.25">
      <c r="A49" s="10">
        <v>46061</v>
      </c>
      <c r="B49" s="2" t="s">
        <v>14</v>
      </c>
      <c r="C49" s="11">
        <v>8</v>
      </c>
      <c r="D49" s="12">
        <v>65.66</v>
      </c>
      <c r="E49" s="12">
        <v>69.75</v>
      </c>
      <c r="F49" s="12">
        <v>65.760000000000005</v>
      </c>
      <c r="G49" s="12">
        <v>69.45</v>
      </c>
      <c r="H49" s="13">
        <f t="shared" si="0"/>
        <v>5.7721596101127114E-2</v>
      </c>
      <c r="I49" s="14">
        <v>152406621</v>
      </c>
      <c r="J49" s="20">
        <v>2.3E-2</v>
      </c>
      <c r="K49" s="14">
        <v>2236223</v>
      </c>
      <c r="L49" s="14">
        <f>G49*1261875720</f>
        <v>87637268754</v>
      </c>
      <c r="M49" s="12">
        <f>G49/(9352763248/1261875720)</f>
        <v>9.3702007022085585</v>
      </c>
      <c r="N49" s="15">
        <f>6/G49</f>
        <v>8.6393088552915762E-2</v>
      </c>
      <c r="O49" s="22"/>
      <c r="P49" s="22"/>
    </row>
    <row r="50" spans="1:16" ht="25.2" x14ac:dyDescent="0.25">
      <c r="A50" s="10">
        <v>46062</v>
      </c>
      <c r="B50" s="2" t="s">
        <v>13</v>
      </c>
      <c r="C50" s="11">
        <v>57</v>
      </c>
      <c r="D50" s="12">
        <v>33</v>
      </c>
      <c r="E50" s="12">
        <v>33.479999999999997</v>
      </c>
      <c r="F50" s="12">
        <v>32.619999999999997</v>
      </c>
      <c r="G50" s="12">
        <v>32.700000000000003</v>
      </c>
      <c r="H50" s="13">
        <f t="shared" si="0"/>
        <v>-9.0909090909090055E-3</v>
      </c>
      <c r="I50" s="14">
        <v>32893124</v>
      </c>
      <c r="J50" s="19">
        <f>I50/8107393634</f>
        <v>4.0571761388340649E-3</v>
      </c>
      <c r="K50" s="14">
        <v>991687</v>
      </c>
      <c r="L50" s="14">
        <f>G50*2868140263</f>
        <v>93788186600.100006</v>
      </c>
      <c r="M50" s="12">
        <f>G50/(15119739368/2868140263)</f>
        <v>6.2030293193146537</v>
      </c>
      <c r="N50" s="15">
        <f>((3.5*2079184011)/2868140263)/G50</f>
        <v>7.7591264980191435E-2</v>
      </c>
      <c r="O50" s="22"/>
      <c r="P50" s="22"/>
    </row>
    <row r="51" spans="1:16" ht="25.2" x14ac:dyDescent="0.25">
      <c r="A51" s="10">
        <v>46062</v>
      </c>
      <c r="B51" s="2" t="s">
        <v>14</v>
      </c>
      <c r="C51" s="11">
        <v>20</v>
      </c>
      <c r="D51" s="12">
        <v>69.45</v>
      </c>
      <c r="E51" s="12">
        <v>69.900000000000006</v>
      </c>
      <c r="F51" s="12">
        <v>68.12</v>
      </c>
      <c r="G51" s="12">
        <v>68.8</v>
      </c>
      <c r="H51" s="13">
        <f t="shared" si="0"/>
        <v>-9.3592512598992903E-3</v>
      </c>
      <c r="I51" s="14">
        <v>90263051</v>
      </c>
      <c r="J51" s="19">
        <v>1.2E-2</v>
      </c>
      <c r="K51" s="14">
        <v>1309413</v>
      </c>
      <c r="L51" s="14">
        <f>G51*1261875720</f>
        <v>86817049536</v>
      </c>
      <c r="M51" s="12">
        <f>G51/(9352763248/1261875720)</f>
        <v>9.2825026394809047</v>
      </c>
      <c r="N51" s="15">
        <f>6/G51</f>
        <v>8.7209302325581398E-2</v>
      </c>
      <c r="O51" s="22"/>
      <c r="P51" s="22"/>
    </row>
    <row r="52" spans="1:16" ht="25.2" x14ac:dyDescent="0.25">
      <c r="A52" s="10" t="s">
        <v>25</v>
      </c>
      <c r="B52" s="2" t="s">
        <v>13</v>
      </c>
      <c r="C52" s="11">
        <v>59</v>
      </c>
      <c r="D52" s="12">
        <v>32.700000000000003</v>
      </c>
      <c r="E52" s="12">
        <v>33</v>
      </c>
      <c r="F52" s="12">
        <v>32.51</v>
      </c>
      <c r="G52" s="12">
        <v>32.590000000000003</v>
      </c>
      <c r="H52" s="13">
        <f t="shared" si="0"/>
        <v>-3.3639143730886671E-3</v>
      </c>
      <c r="I52" s="14">
        <v>27293723</v>
      </c>
      <c r="J52" s="19">
        <f>I52/8417946073</f>
        <v>3.2423257126275489E-3</v>
      </c>
      <c r="K52" s="14">
        <v>832871</v>
      </c>
      <c r="L52" s="14">
        <f>G52*2868140263</f>
        <v>93472691171.170013</v>
      </c>
      <c r="M52" s="12">
        <f>G52/(15119739368/2868140263)</f>
        <v>6.1821628598307212</v>
      </c>
      <c r="N52" s="15">
        <f>((3.5*2079184011)/2868140263)/G52</f>
        <v>7.7853156331766177E-2</v>
      </c>
      <c r="O52" s="22"/>
      <c r="P52" s="22"/>
    </row>
    <row r="53" spans="1:16" ht="25.2" x14ac:dyDescent="0.25">
      <c r="A53" s="10">
        <v>46063</v>
      </c>
      <c r="B53" s="2" t="s">
        <v>14</v>
      </c>
      <c r="C53" s="11">
        <v>17</v>
      </c>
      <c r="D53" s="12">
        <v>68.8</v>
      </c>
      <c r="E53" s="12">
        <v>69.69</v>
      </c>
      <c r="F53" s="12">
        <v>68.510000000000005</v>
      </c>
      <c r="G53" s="12">
        <v>69.3</v>
      </c>
      <c r="H53" s="13">
        <f t="shared" si="0"/>
        <v>7.2674418604651162E-3</v>
      </c>
      <c r="I53" s="14">
        <v>103478209</v>
      </c>
      <c r="J53" s="19">
        <v>1.2999999999999999E-2</v>
      </c>
      <c r="K53" s="14">
        <v>1491399</v>
      </c>
      <c r="L53" s="14">
        <f>G53*1261875720</f>
        <v>87447987396</v>
      </c>
      <c r="M53" s="12">
        <f>G53/(9352763248/1261875720)</f>
        <v>9.3499626877329458</v>
      </c>
      <c r="N53" s="15">
        <f>6/G53</f>
        <v>8.658008658008659E-2</v>
      </c>
      <c r="O53" s="22"/>
      <c r="P53" s="22"/>
    </row>
    <row r="54" spans="1:16" ht="25.2" x14ac:dyDescent="0.25">
      <c r="A54" s="10">
        <v>46064</v>
      </c>
      <c r="B54" s="2" t="s">
        <v>13</v>
      </c>
      <c r="C54" s="11">
        <v>48</v>
      </c>
      <c r="D54" s="12">
        <v>32.590000000000003</v>
      </c>
      <c r="E54" s="12">
        <v>33</v>
      </c>
      <c r="F54" s="12">
        <v>32.08</v>
      </c>
      <c r="G54" s="12">
        <v>32.200000000000003</v>
      </c>
      <c r="H54" s="13">
        <f t="shared" si="0"/>
        <v>-1.1966861000306859E-2</v>
      </c>
      <c r="I54" s="14">
        <v>35352899</v>
      </c>
      <c r="J54" s="21">
        <f>I54/7560174519</f>
        <v>4.6762014436508275E-3</v>
      </c>
      <c r="K54" s="14">
        <v>1082257</v>
      </c>
      <c r="L54" s="14">
        <f>G54*2868140263</f>
        <v>92354116468.600006</v>
      </c>
      <c r="M54" s="12">
        <f>G54/(15119739368/2868140263)</f>
        <v>6.1081817762058668</v>
      </c>
      <c r="N54" s="15">
        <f>((3.5*2079184011)/2868140263)/G54</f>
        <v>7.879609828733726E-2</v>
      </c>
      <c r="O54" s="22"/>
      <c r="P54" s="22"/>
    </row>
    <row r="55" spans="1:16" ht="25.2" x14ac:dyDescent="0.25">
      <c r="A55" s="10">
        <v>46064</v>
      </c>
      <c r="B55" s="2" t="s">
        <v>14</v>
      </c>
      <c r="C55" s="11">
        <v>20</v>
      </c>
      <c r="D55" s="12">
        <v>69.3</v>
      </c>
      <c r="E55" s="12">
        <v>71</v>
      </c>
      <c r="F55" s="12">
        <v>69.2</v>
      </c>
      <c r="G55" s="12">
        <v>69.55</v>
      </c>
      <c r="H55" s="13">
        <f t="shared" si="0"/>
        <v>3.6075036075036075E-3</v>
      </c>
      <c r="I55" s="14">
        <v>94633019</v>
      </c>
      <c r="J55" s="21">
        <f>I55/7560174519</f>
        <v>1.2517306149768261E-2</v>
      </c>
      <c r="K55" s="14">
        <v>1348685</v>
      </c>
      <c r="L55" s="14">
        <f>G55*1261875720</f>
        <v>87763456326</v>
      </c>
      <c r="M55" s="12">
        <f>G55/(9352763248/1261875720)</f>
        <v>9.3836927118589664</v>
      </c>
      <c r="N55" s="15">
        <f>6/G55</f>
        <v>8.6268871315600293E-2</v>
      </c>
      <c r="O55" s="22"/>
      <c r="P55" s="22"/>
    </row>
    <row r="56" spans="1:16" ht="25.2" x14ac:dyDescent="0.25">
      <c r="A56" s="10">
        <v>46065</v>
      </c>
      <c r="B56" s="2" t="s">
        <v>13</v>
      </c>
      <c r="C56" s="11">
        <v>51</v>
      </c>
      <c r="D56" s="12">
        <v>32.200000000000003</v>
      </c>
      <c r="E56" s="12">
        <v>32.590000000000003</v>
      </c>
      <c r="F56" s="12">
        <v>32.01</v>
      </c>
      <c r="G56" s="12">
        <v>32.4</v>
      </c>
      <c r="H56" s="13">
        <f t="shared" si="0"/>
        <v>6.2111801242234694E-3</v>
      </c>
      <c r="I56" s="14">
        <v>28931337</v>
      </c>
      <c r="J56" s="19">
        <v>5.0000000000000001E-3</v>
      </c>
      <c r="K56" s="14">
        <v>893976</v>
      </c>
      <c r="L56" s="14">
        <f>G56*2868140263</f>
        <v>92927744521.199997</v>
      </c>
      <c r="M56" s="12">
        <f>G56/(15119739368/2868140263)</f>
        <v>6.1461207934493807</v>
      </c>
      <c r="N56" s="15">
        <f>((3.5*2079184011)/2868140263)/G56</f>
        <v>7.8309702618896929E-2</v>
      </c>
      <c r="O56" s="22"/>
      <c r="P56" s="22"/>
    </row>
    <row r="57" spans="1:16" ht="25.2" x14ac:dyDescent="0.25">
      <c r="A57" s="10">
        <v>46065</v>
      </c>
      <c r="B57" s="2" t="s">
        <v>14</v>
      </c>
      <c r="C57" s="11">
        <v>12</v>
      </c>
      <c r="D57" s="12">
        <v>69.55</v>
      </c>
      <c r="E57" s="12">
        <v>70.84</v>
      </c>
      <c r="F57" s="12">
        <v>62.01</v>
      </c>
      <c r="G57" s="12">
        <v>69.72</v>
      </c>
      <c r="H57" s="13">
        <f t="shared" si="0"/>
        <v>2.4442846872753661E-3</v>
      </c>
      <c r="I57" s="14">
        <v>117609926</v>
      </c>
      <c r="J57" s="20">
        <v>1.9E-2</v>
      </c>
      <c r="K57" s="14">
        <v>1679242</v>
      </c>
      <c r="L57" s="14">
        <f>G57*1261875720</f>
        <v>87977975198.399994</v>
      </c>
      <c r="M57" s="12">
        <f>G57/(9352763248/1261875720)</f>
        <v>9.4066291282646599</v>
      </c>
      <c r="N57" s="15">
        <f>6/G57</f>
        <v>8.6058519793459548E-2</v>
      </c>
      <c r="O57" s="22"/>
      <c r="P57" s="22"/>
    </row>
    <row r="58" spans="1:16" ht="25.2" x14ac:dyDescent="0.25">
      <c r="A58" s="10">
        <v>46068</v>
      </c>
      <c r="B58" s="2" t="s">
        <v>13</v>
      </c>
      <c r="C58" s="11">
        <v>33</v>
      </c>
      <c r="D58" s="12">
        <v>32.4</v>
      </c>
      <c r="E58" s="12">
        <v>33.65</v>
      </c>
      <c r="F58" s="12">
        <v>32.44</v>
      </c>
      <c r="G58" s="12">
        <v>33.65</v>
      </c>
      <c r="H58" s="13">
        <f t="shared" si="0"/>
        <v>3.8580246913580252E-2</v>
      </c>
      <c r="I58" s="14">
        <v>69231310</v>
      </c>
      <c r="J58" s="19">
        <v>8.9999999999999993E-3</v>
      </c>
      <c r="K58" s="14">
        <v>2084298</v>
      </c>
      <c r="L58" s="14">
        <f>G58*2868140263</f>
        <v>96512919849.949997</v>
      </c>
      <c r="M58" s="12">
        <f>G58/(15119739368/2868140263)</f>
        <v>6.3832396512213476</v>
      </c>
      <c r="N58" s="15">
        <f>((3.5*2079184011)/2868140263)/G58</f>
        <v>7.5400724066931948E-2</v>
      </c>
      <c r="O58" s="22"/>
      <c r="P58" s="22"/>
    </row>
    <row r="59" spans="1:16" ht="25.2" x14ac:dyDescent="0.25">
      <c r="A59" s="10">
        <v>46068</v>
      </c>
      <c r="B59" s="2" t="s">
        <v>14</v>
      </c>
      <c r="C59" s="11">
        <v>20</v>
      </c>
      <c r="D59" s="12">
        <v>69.72</v>
      </c>
      <c r="E59" s="12">
        <v>72</v>
      </c>
      <c r="F59" s="12">
        <v>69.010000000000005</v>
      </c>
      <c r="G59" s="12">
        <v>71.87</v>
      </c>
      <c r="H59" s="13">
        <f t="shared" si="0"/>
        <v>3.0837636259323089E-2</v>
      </c>
      <c r="I59" s="14">
        <v>104543864</v>
      </c>
      <c r="J59" s="19">
        <v>1.2999999999999999E-2</v>
      </c>
      <c r="K59" s="14">
        <v>1471812</v>
      </c>
      <c r="L59" s="14">
        <f>G59*1261875720</f>
        <v>90691007996.400009</v>
      </c>
      <c r="M59" s="12">
        <f>G59/(9352763248/1261875720)</f>
        <v>9.6967073357484388</v>
      </c>
      <c r="N59" s="15">
        <f>6/G59</f>
        <v>8.3484068456936136E-2</v>
      </c>
      <c r="O59" s="22"/>
      <c r="P59" s="22"/>
    </row>
    <row r="60" spans="1:16" ht="25.2" x14ac:dyDescent="0.25">
      <c r="A60" s="10">
        <v>46069</v>
      </c>
      <c r="B60" s="2" t="s">
        <v>13</v>
      </c>
      <c r="C60" s="11">
        <v>11</v>
      </c>
      <c r="D60" s="12">
        <v>33.65</v>
      </c>
      <c r="E60" s="12">
        <v>35.369999999999997</v>
      </c>
      <c r="F60" s="12">
        <v>33.799999999999997</v>
      </c>
      <c r="G60" s="12">
        <v>35.020000000000003</v>
      </c>
      <c r="H60" s="13">
        <f t="shared" si="0"/>
        <v>4.0713224368499397E-2</v>
      </c>
      <c r="I60" s="14">
        <v>213551197</v>
      </c>
      <c r="J60" s="19">
        <v>2.3E-2</v>
      </c>
      <c r="K60" s="14">
        <v>6151759</v>
      </c>
      <c r="L60" s="14">
        <f>G60*2868140263</f>
        <v>100442272010.26001</v>
      </c>
      <c r="M60" s="12">
        <f>G60/(15119739368/2868140263)</f>
        <v>6.643121919339424</v>
      </c>
      <c r="N60" s="15">
        <f>((3.5*2079184011)/2868140263)/G60</f>
        <v>7.245100984729469E-2</v>
      </c>
      <c r="O60" s="22"/>
      <c r="P60" s="22"/>
    </row>
    <row r="61" spans="1:16" ht="25.2" x14ac:dyDescent="0.25">
      <c r="A61" s="10">
        <v>46069</v>
      </c>
      <c r="B61" s="2" t="s">
        <v>14</v>
      </c>
      <c r="C61" s="11">
        <v>26</v>
      </c>
      <c r="D61" s="12">
        <v>71.87</v>
      </c>
      <c r="E61" s="12">
        <v>72.5</v>
      </c>
      <c r="F61" s="12">
        <v>70</v>
      </c>
      <c r="G61" s="12">
        <v>70.3</v>
      </c>
      <c r="H61" s="13">
        <f t="shared" si="0"/>
        <v>-2.184499791289839E-2</v>
      </c>
      <c r="I61" s="14">
        <v>98552563</v>
      </c>
      <c r="J61" s="19">
        <v>1.0999999999999999E-2</v>
      </c>
      <c r="K61" s="14">
        <v>1375902</v>
      </c>
      <c r="L61" s="14">
        <f>G61*1261875720</f>
        <v>88709863116</v>
      </c>
      <c r="M61" s="12">
        <f>G61/(9352763248/1261875720)</f>
        <v>9.484882784237028</v>
      </c>
      <c r="N61" s="15">
        <f>6/G61</f>
        <v>8.5348506401137988E-2</v>
      </c>
      <c r="O61" s="22"/>
      <c r="P61" s="22"/>
    </row>
    <row r="62" spans="1:16" ht="25.2" x14ac:dyDescent="0.25">
      <c r="A62" s="10">
        <v>46070</v>
      </c>
      <c r="B62" s="2" t="s">
        <v>13</v>
      </c>
      <c r="C62" s="11">
        <v>3</v>
      </c>
      <c r="D62" s="12">
        <v>35.020000000000003</v>
      </c>
      <c r="E62" s="12">
        <v>38.25</v>
      </c>
      <c r="F62" s="12">
        <v>34.82</v>
      </c>
      <c r="G62" s="12">
        <v>37.57</v>
      </c>
      <c r="H62" s="13">
        <f t="shared" si="0"/>
        <v>7.2815533980582436E-2</v>
      </c>
      <c r="I62" s="14">
        <v>362206982</v>
      </c>
      <c r="J62" s="20">
        <v>4.8000000000000001E-2</v>
      </c>
      <c r="K62" s="14">
        <v>9787802</v>
      </c>
      <c r="L62" s="14">
        <f>G62*2868140263</f>
        <v>107756029680.91</v>
      </c>
      <c r="M62" s="12">
        <f>G62/(15119739368/2868140263)</f>
        <v>7.1268443891942361</v>
      </c>
      <c r="N62" s="15">
        <f>((3.5*2079184011)/2868140263)/G62</f>
        <v>6.7533520491143473E-2</v>
      </c>
      <c r="O62" s="22"/>
      <c r="P62" s="22"/>
    </row>
    <row r="63" spans="1:16" ht="25.2" x14ac:dyDescent="0.25">
      <c r="A63" s="10">
        <v>46070</v>
      </c>
      <c r="B63" s="2" t="s">
        <v>14</v>
      </c>
      <c r="C63" s="11">
        <v>11</v>
      </c>
      <c r="D63" s="12">
        <v>70.3</v>
      </c>
      <c r="E63" s="12">
        <v>71</v>
      </c>
      <c r="F63" s="12">
        <v>68.010000000000005</v>
      </c>
      <c r="G63" s="12">
        <v>68.989999999999995</v>
      </c>
      <c r="H63" s="13">
        <f t="shared" si="0"/>
        <v>-1.8634423897581825E-2</v>
      </c>
      <c r="I63" s="14">
        <v>173233895</v>
      </c>
      <c r="J63" s="19">
        <v>2.3E-2</v>
      </c>
      <c r="K63" s="14">
        <v>2490788</v>
      </c>
      <c r="L63" s="14">
        <f>G63*1261875720</f>
        <v>87056805922.799988</v>
      </c>
      <c r="M63" s="12">
        <f>G63/(9352763248/1261875720)</f>
        <v>9.3081374578166791</v>
      </c>
      <c r="N63" s="15">
        <f>6/G63</f>
        <v>8.696912596028411E-2</v>
      </c>
      <c r="O63" s="22"/>
      <c r="P63" s="22"/>
    </row>
    <row r="64" spans="1:16" ht="25.2" x14ac:dyDescent="0.25">
      <c r="A64" s="10">
        <v>46071</v>
      </c>
      <c r="B64" s="2" t="s">
        <v>13</v>
      </c>
      <c r="C64" s="11">
        <v>19</v>
      </c>
      <c r="D64" s="12">
        <v>37.57</v>
      </c>
      <c r="E64" s="12">
        <v>38.28</v>
      </c>
      <c r="F64" s="12">
        <v>36.25</v>
      </c>
      <c r="G64" s="12">
        <v>37.01</v>
      </c>
      <c r="H64" s="13">
        <f t="shared" si="0"/>
        <v>-1.4905509715198356E-2</v>
      </c>
      <c r="I64" s="14">
        <v>130585596</v>
      </c>
      <c r="J64" s="19">
        <v>1.6E-2</v>
      </c>
      <c r="K64" s="14">
        <v>3501387</v>
      </c>
      <c r="L64" s="14">
        <f>G64*2868140263</f>
        <v>106149871133.62999</v>
      </c>
      <c r="M64" s="12">
        <f>G64/(15119739368/2868140263)</f>
        <v>7.0206151409123949</v>
      </c>
      <c r="N64" s="15">
        <f>((3.5*2079184011)/2868140263)/G64</f>
        <v>6.8555373273500683E-2</v>
      </c>
      <c r="O64" s="22"/>
      <c r="P64" s="22"/>
    </row>
    <row r="65" spans="1:16" ht="25.2" x14ac:dyDescent="0.25">
      <c r="A65" s="10">
        <v>46071</v>
      </c>
      <c r="B65" s="2" t="s">
        <v>14</v>
      </c>
      <c r="C65" s="11">
        <v>9</v>
      </c>
      <c r="D65" s="12">
        <v>68.989999999999995</v>
      </c>
      <c r="E65" s="12">
        <v>70</v>
      </c>
      <c r="F65" s="12">
        <v>66.53</v>
      </c>
      <c r="G65" s="12">
        <v>68.7</v>
      </c>
      <c r="H65" s="13">
        <f t="shared" si="0"/>
        <v>-4.2035077547469494E-3</v>
      </c>
      <c r="I65" s="14">
        <v>215264757</v>
      </c>
      <c r="J65" s="20">
        <v>2.5999999999999999E-2</v>
      </c>
      <c r="K65" s="14">
        <v>3156971</v>
      </c>
      <c r="L65" s="14">
        <f>G65*1261875720</f>
        <v>86690861964</v>
      </c>
      <c r="M65" s="12">
        <f>G65/(9352763248/1261875720)</f>
        <v>9.2690106298304968</v>
      </c>
      <c r="N65" s="15">
        <f>6/G65</f>
        <v>8.7336244541484712E-2</v>
      </c>
      <c r="O65" s="22"/>
      <c r="P65" s="22"/>
    </row>
    <row r="66" spans="1:16" ht="25.2" x14ac:dyDescent="0.25">
      <c r="A66" s="10">
        <v>46072</v>
      </c>
      <c r="B66" s="2" t="s">
        <v>13</v>
      </c>
      <c r="C66" s="11">
        <v>28</v>
      </c>
      <c r="D66" s="12">
        <v>37.01</v>
      </c>
      <c r="E66" s="12">
        <v>37.299999999999997</v>
      </c>
      <c r="F66" s="12">
        <v>35.520000000000003</v>
      </c>
      <c r="G66" s="12">
        <v>35.659999999999997</v>
      </c>
      <c r="H66" s="13">
        <f t="shared" si="0"/>
        <v>-3.6476627938395068E-2</v>
      </c>
      <c r="I66" s="14">
        <v>47867575</v>
      </c>
      <c r="J66" s="19">
        <f>I66/5603165061</f>
        <v>8.5429528630479156E-3</v>
      </c>
      <c r="K66" s="14">
        <v>1322546</v>
      </c>
      <c r="L66" s="14">
        <f>G66*2868140263</f>
        <v>102277881778.57999</v>
      </c>
      <c r="M66" s="12">
        <f>G66/(15119739368/2868140263)</f>
        <v>6.7645267745186706</v>
      </c>
      <c r="N66" s="15">
        <f>((3.5*2079184011)/2868140263)/G66</f>
        <v>7.1150711297034791E-2</v>
      </c>
      <c r="O66" s="22"/>
      <c r="P66" s="22"/>
    </row>
    <row r="67" spans="1:16" ht="25.2" x14ac:dyDescent="0.25">
      <c r="A67" s="10">
        <v>46072</v>
      </c>
      <c r="B67" s="2" t="s">
        <v>14</v>
      </c>
      <c r="C67" s="11">
        <v>26</v>
      </c>
      <c r="D67" s="12">
        <v>68.7</v>
      </c>
      <c r="E67" s="12">
        <v>68.650000000000006</v>
      </c>
      <c r="F67" s="12">
        <v>67.23</v>
      </c>
      <c r="G67" s="12">
        <v>67.650000000000006</v>
      </c>
      <c r="H67" s="13">
        <f t="shared" si="0"/>
        <v>-1.5283842794759783E-2</v>
      </c>
      <c r="I67" s="14">
        <v>53464208</v>
      </c>
      <c r="J67" s="19">
        <f>I67/5603165061</f>
        <v>9.5417870824705299E-3</v>
      </c>
      <c r="K67" s="14">
        <v>787214</v>
      </c>
      <c r="L67" s="14">
        <f>G67*1261875720</f>
        <v>85365892458</v>
      </c>
      <c r="M67" s="12">
        <f>G67/(9352763248/1261875720)</f>
        <v>9.1273445285012098</v>
      </c>
      <c r="N67" s="15">
        <f>6/G67</f>
        <v>8.8691796008869173E-2</v>
      </c>
      <c r="O67" s="22"/>
      <c r="P67" s="22"/>
    </row>
    <row r="68" spans="1:16" ht="25.2" x14ac:dyDescent="0.25">
      <c r="A68" s="10">
        <v>46075</v>
      </c>
      <c r="B68" s="2" t="s">
        <v>13</v>
      </c>
      <c r="C68" s="11">
        <v>25</v>
      </c>
      <c r="D68" s="12">
        <v>35.659999999999997</v>
      </c>
      <c r="E68" s="12">
        <v>36.07</v>
      </c>
      <c r="F68" s="12">
        <v>34.85</v>
      </c>
      <c r="G68" s="12">
        <v>35.25</v>
      </c>
      <c r="H68" s="13">
        <f t="shared" si="0"/>
        <v>-1.1497476163768835E-2</v>
      </c>
      <c r="I68" s="14">
        <v>46747182</v>
      </c>
      <c r="J68" s="19">
        <f>I68/4582406891</f>
        <v>1.0201447211467193E-2</v>
      </c>
      <c r="K68" s="14">
        <v>1319806</v>
      </c>
      <c r="L68" s="14">
        <f>G68*2868140263</f>
        <v>101101944270.75</v>
      </c>
      <c r="M68" s="12">
        <f>G68/(15119739368/2868140263)</f>
        <v>6.6867517891694659</v>
      </c>
      <c r="N68" s="15">
        <f>((3.5*2079184011)/2868140263)/G68</f>
        <v>7.1978279853964822E-2</v>
      </c>
      <c r="O68" s="22"/>
      <c r="P68" s="22"/>
    </row>
    <row r="69" spans="1:16" ht="25.2" x14ac:dyDescent="0.25">
      <c r="A69" s="10">
        <v>46075</v>
      </c>
      <c r="B69" s="2" t="s">
        <v>14</v>
      </c>
      <c r="C69" s="11">
        <v>9</v>
      </c>
      <c r="D69" s="12">
        <v>67.650000000000006</v>
      </c>
      <c r="E69" s="12">
        <v>67.5</v>
      </c>
      <c r="F69" s="12">
        <v>65</v>
      </c>
      <c r="G69" s="12">
        <v>67</v>
      </c>
      <c r="H69" s="13">
        <f t="shared" si="0"/>
        <v>-9.6082779009609102E-3</v>
      </c>
      <c r="I69" s="14">
        <v>122953687</v>
      </c>
      <c r="J69" s="19">
        <v>2.8000000000000001E-2</v>
      </c>
      <c r="K69" s="14">
        <v>1852166</v>
      </c>
      <c r="L69" s="14">
        <f>G69*1261875720</f>
        <v>84545673240</v>
      </c>
      <c r="M69" s="12">
        <f>G69/(9352763248/1261875720)</f>
        <v>9.039646465773556</v>
      </c>
      <c r="N69" s="15">
        <f>6/G69</f>
        <v>8.9552238805970144E-2</v>
      </c>
      <c r="O69" s="22"/>
      <c r="P69" s="22"/>
    </row>
    <row r="70" spans="1:16" ht="25.2" x14ac:dyDescent="0.25">
      <c r="A70" s="10">
        <v>46076</v>
      </c>
      <c r="B70" s="2" t="s">
        <v>13</v>
      </c>
      <c r="C70" s="11">
        <v>13</v>
      </c>
      <c r="D70" s="12">
        <v>35.25</v>
      </c>
      <c r="E70" s="12">
        <v>37.25</v>
      </c>
      <c r="F70" s="12">
        <v>35.25</v>
      </c>
      <c r="G70" s="12">
        <v>37.200000000000003</v>
      </c>
      <c r="H70" s="13">
        <f t="shared" si="0"/>
        <v>5.5319148936170293E-2</v>
      </c>
      <c r="I70" s="14">
        <v>102350749</v>
      </c>
      <c r="J70" s="19">
        <v>1.9E-2</v>
      </c>
      <c r="K70" s="14">
        <v>2792839</v>
      </c>
      <c r="L70" s="14">
        <f>G70*2868140263</f>
        <v>106694817783.60001</v>
      </c>
      <c r="M70" s="12">
        <f>G70/(15119739368/2868140263)</f>
        <v>7.0566572072937346</v>
      </c>
      <c r="N70" s="15">
        <f>((3.5*2079184011)/2868140263)/G70</f>
        <v>6.8205224861619895E-2</v>
      </c>
      <c r="O70" s="22"/>
      <c r="P70" s="22"/>
    </row>
    <row r="71" spans="1:16" ht="25.2" x14ac:dyDescent="0.25">
      <c r="A71" s="10">
        <v>46076</v>
      </c>
      <c r="B71" s="2" t="s">
        <v>14</v>
      </c>
      <c r="C71" s="11">
        <v>4</v>
      </c>
      <c r="D71" s="12">
        <v>67</v>
      </c>
      <c r="E71" s="12">
        <v>71.89</v>
      </c>
      <c r="F71" s="12">
        <v>66.95</v>
      </c>
      <c r="G71" s="12">
        <v>70.099999999999994</v>
      </c>
      <c r="H71" s="13">
        <f t="shared" si="0"/>
        <v>4.6268656716417826E-2</v>
      </c>
      <c r="I71" s="14">
        <v>285617553</v>
      </c>
      <c r="J71" s="19">
        <v>5.2999999999999999E-2</v>
      </c>
      <c r="K71" s="14">
        <v>4063205</v>
      </c>
      <c r="L71" s="14">
        <f>G71*1261875720</f>
        <v>88457487972</v>
      </c>
      <c r="M71" s="12">
        <f>G71/(9352763248/1261875720)</f>
        <v>9.4578987649362123</v>
      </c>
      <c r="N71" s="15">
        <f>6/G71</f>
        <v>8.5592011412268201E-2</v>
      </c>
      <c r="O71" s="22"/>
      <c r="P71" s="22"/>
    </row>
    <row r="72" spans="1:16" ht="25.2" x14ac:dyDescent="0.25">
      <c r="A72" s="10">
        <v>46077</v>
      </c>
      <c r="B72" s="2" t="s">
        <v>13</v>
      </c>
      <c r="C72" s="11">
        <v>23</v>
      </c>
      <c r="D72" s="12">
        <v>37.200000000000003</v>
      </c>
      <c r="E72" s="12">
        <v>37.83</v>
      </c>
      <c r="F72" s="12">
        <v>36.04</v>
      </c>
      <c r="G72" s="12">
        <v>36.21</v>
      </c>
      <c r="H72" s="13">
        <f t="shared" si="0"/>
        <v>-2.6612903225806502E-2</v>
      </c>
      <c r="I72" s="14">
        <v>47898202</v>
      </c>
      <c r="J72" s="19">
        <f>I72/5939534265</f>
        <v>8.0643026646467202E-3</v>
      </c>
      <c r="K72" s="14">
        <v>1294780</v>
      </c>
      <c r="L72" s="14">
        <f t="shared" ref="L72" si="1">G72*2868140263</f>
        <v>103855358923.23</v>
      </c>
      <c r="M72" s="12">
        <f t="shared" ref="M72" si="2">G72/(15119739368/2868140263)</f>
        <v>6.8688590719383367</v>
      </c>
      <c r="N72" s="15">
        <f t="shared" ref="N72" si="3">((3.5*2079184011)/2868140263)/G72</f>
        <v>7.0069990744331956E-2</v>
      </c>
      <c r="O72" s="22"/>
      <c r="P72" s="22"/>
    </row>
    <row r="73" spans="1:16" ht="25.2" x14ac:dyDescent="0.25">
      <c r="A73" s="10">
        <v>46077</v>
      </c>
      <c r="B73" s="2" t="s">
        <v>14</v>
      </c>
      <c r="C73" s="11">
        <v>25</v>
      </c>
      <c r="D73" s="12">
        <v>70.099999999999994</v>
      </c>
      <c r="E73" s="12">
        <v>70.099999999999994</v>
      </c>
      <c r="F73" s="12">
        <v>68.900000000000006</v>
      </c>
      <c r="G73" s="12">
        <v>69.02</v>
      </c>
      <c r="H73" s="13">
        <f t="shared" si="0"/>
        <v>-1.5406562054208251E-2</v>
      </c>
      <c r="I73" s="14">
        <v>44033087</v>
      </c>
      <c r="J73" s="19">
        <v>8.0000000000000002E-3</v>
      </c>
      <c r="K73" s="14">
        <v>633215</v>
      </c>
      <c r="L73" s="14">
        <f t="shared" ref="L73" si="4">G73*1261875720</f>
        <v>87094662194.399994</v>
      </c>
      <c r="M73" s="12">
        <f t="shared" ref="M73" si="5">G73/(9352763248/1261875720)</f>
        <v>9.3121850607118031</v>
      </c>
      <c r="N73" s="15">
        <f t="shared" ref="N73" si="6">6/G73</f>
        <v>8.6931324253839468E-2</v>
      </c>
      <c r="O73" s="22"/>
      <c r="P73" s="22"/>
    </row>
    <row r="74" spans="1:16" ht="25.2" x14ac:dyDescent="0.25">
      <c r="A74" s="10">
        <v>46078</v>
      </c>
      <c r="B74" s="2" t="s">
        <v>13</v>
      </c>
      <c r="C74" s="11">
        <v>28</v>
      </c>
      <c r="D74" s="12">
        <v>36.21</v>
      </c>
      <c r="E74" s="12">
        <v>36.590000000000003</v>
      </c>
      <c r="F74" s="12">
        <v>35.299999999999997</v>
      </c>
      <c r="G74" s="12">
        <v>35.5</v>
      </c>
      <c r="H74" s="13">
        <f t="shared" si="0"/>
        <v>-1.9607843137254926E-2</v>
      </c>
      <c r="I74" s="14">
        <v>40631814</v>
      </c>
      <c r="J74" s="19">
        <f>I74/6201481820</f>
        <v>6.5519524493260544E-3</v>
      </c>
      <c r="K74" s="14">
        <v>1136227</v>
      </c>
      <c r="L74" s="14">
        <f t="shared" ref="L74" si="7">G74*2868140263</f>
        <v>101818979336.5</v>
      </c>
      <c r="M74" s="12">
        <f t="shared" ref="M74" si="8">G74/(15119739368/2868140263)</f>
        <v>6.7341755607238589</v>
      </c>
      <c r="N74" s="15">
        <f t="shared" ref="N74" si="9">((3.5*2079184011)/2868140263)/G74</f>
        <v>7.1471390559218598E-2</v>
      </c>
      <c r="O74" s="22"/>
      <c r="P74" s="22"/>
    </row>
    <row r="75" spans="1:16" ht="25.2" x14ac:dyDescent="0.25">
      <c r="A75" s="10">
        <v>46078</v>
      </c>
      <c r="B75" s="2" t="s">
        <v>14</v>
      </c>
      <c r="C75" s="11">
        <v>24</v>
      </c>
      <c r="D75" s="12">
        <v>69.02</v>
      </c>
      <c r="E75" s="12">
        <v>69.5</v>
      </c>
      <c r="F75" s="12">
        <v>67.540000000000006</v>
      </c>
      <c r="G75" s="12">
        <v>68.3</v>
      </c>
      <c r="H75" s="13">
        <f t="shared" si="0"/>
        <v>-1.043175891046072E-2</v>
      </c>
      <c r="I75" s="14">
        <v>53916919</v>
      </c>
      <c r="J75" s="19">
        <f>I75/6201481820</f>
        <v>8.6941993163820973E-3</v>
      </c>
      <c r="K75" s="14">
        <v>789319</v>
      </c>
      <c r="L75" s="14">
        <f t="shared" ref="L75" si="10">G75*1261875720</f>
        <v>86186111676</v>
      </c>
      <c r="M75" s="12">
        <f t="shared" ref="M75" si="11">G75/(9352763248/1261875720)</f>
        <v>9.2150425912288618</v>
      </c>
      <c r="N75" s="15">
        <f t="shared" ref="N75" si="12">6/G75</f>
        <v>8.7847730600292828E-2</v>
      </c>
      <c r="O75" s="22"/>
      <c r="P75" s="22"/>
    </row>
    <row r="76" spans="1:16" ht="25.2" x14ac:dyDescent="0.25">
      <c r="A76" s="10">
        <v>46079</v>
      </c>
      <c r="B76" s="2" t="s">
        <v>13</v>
      </c>
      <c r="C76" s="11">
        <v>17</v>
      </c>
      <c r="D76" s="12">
        <v>35.5</v>
      </c>
      <c r="E76" s="12">
        <v>36.799999999999997</v>
      </c>
      <c r="F76" s="12">
        <v>35.159999999999997</v>
      </c>
      <c r="G76" s="12">
        <v>36.51</v>
      </c>
      <c r="H76" s="13">
        <f t="shared" si="0"/>
        <v>2.8450704225352057E-2</v>
      </c>
      <c r="I76" s="14">
        <v>76423257</v>
      </c>
      <c r="J76" s="19">
        <v>1.2999999999999999E-2</v>
      </c>
      <c r="K76" s="14">
        <v>2119241</v>
      </c>
      <c r="L76" s="14">
        <f t="shared" ref="L76" si="13">G76*2868140263</f>
        <v>104715801002.12999</v>
      </c>
      <c r="M76" s="12">
        <f t="shared" ref="M76" si="14">G76/(15119739368/2868140263)</f>
        <v>6.925767597803608</v>
      </c>
      <c r="N76" s="15">
        <f t="shared" ref="N76" si="15">((3.5*2079184011)/2868140263)/G76</f>
        <v>6.9494230754649694E-2</v>
      </c>
      <c r="O76" s="22"/>
      <c r="P76" s="22"/>
    </row>
    <row r="77" spans="1:16" ht="25.2" x14ac:dyDescent="0.25">
      <c r="A77" s="10">
        <v>46079</v>
      </c>
      <c r="B77" s="2" t="s">
        <v>14</v>
      </c>
      <c r="C77" s="11">
        <v>9</v>
      </c>
      <c r="D77" s="12">
        <v>68.3</v>
      </c>
      <c r="E77" s="12">
        <v>70.97</v>
      </c>
      <c r="F77" s="12">
        <v>68</v>
      </c>
      <c r="G77" s="12">
        <v>69.7</v>
      </c>
      <c r="H77" s="13">
        <f t="shared" si="0"/>
        <v>2.0497803806735077E-2</v>
      </c>
      <c r="I77" s="14">
        <v>157778475</v>
      </c>
      <c r="J77" s="19">
        <v>2.5999999999999999E-2</v>
      </c>
      <c r="K77" s="14">
        <v>2253527</v>
      </c>
      <c r="L77" s="14">
        <f t="shared" ref="L77" si="16">G77*1261875720</f>
        <v>87952737684</v>
      </c>
      <c r="M77" s="12">
        <f t="shared" ref="M77" si="17">G77/(9352763248/1261875720)</f>
        <v>9.403930726334579</v>
      </c>
      <c r="N77" s="15">
        <f t="shared" ref="N77" si="18">6/G77</f>
        <v>8.6083213773314196E-2</v>
      </c>
      <c r="O77" s="22"/>
      <c r="P77" s="22"/>
    </row>
    <row r="78" spans="1:16" ht="25.2" x14ac:dyDescent="0.25">
      <c r="A78" s="10">
        <v>46082</v>
      </c>
      <c r="B78" s="2" t="s">
        <v>13</v>
      </c>
      <c r="C78" s="11">
        <v>14</v>
      </c>
      <c r="D78" s="12">
        <v>36.51</v>
      </c>
      <c r="E78" s="12">
        <v>36.200000000000003</v>
      </c>
      <c r="F78" s="12">
        <v>34.75</v>
      </c>
      <c r="G78" s="12">
        <v>36</v>
      </c>
      <c r="H78" s="13">
        <f t="shared" si="0"/>
        <v>-1.3968775677896414E-2</v>
      </c>
      <c r="I78" s="14">
        <v>92505579</v>
      </c>
      <c r="J78" s="19">
        <v>1.7999999999999999E-2</v>
      </c>
      <c r="K78" s="14">
        <v>2610328</v>
      </c>
      <c r="L78" s="14">
        <f t="shared" ref="L78:L80" si="19">G78*2868140263</f>
        <v>103253049468</v>
      </c>
      <c r="M78" s="12">
        <f t="shared" ref="M78" si="20">G78/(15119739368/2868140263)</f>
        <v>6.8290231038326459</v>
      </c>
      <c r="N78" s="15">
        <f t="shared" ref="N78" si="21">((3.5*2079184011)/2868140263)/G78</f>
        <v>7.0478732357007232E-2</v>
      </c>
      <c r="O78" s="22"/>
      <c r="P78" s="22"/>
    </row>
    <row r="79" spans="1:16" ht="25.2" x14ac:dyDescent="0.25">
      <c r="A79" s="10">
        <v>46082</v>
      </c>
      <c r="B79" s="2" t="s">
        <v>14</v>
      </c>
      <c r="C79" s="11">
        <v>5</v>
      </c>
      <c r="D79" s="12">
        <v>69.7</v>
      </c>
      <c r="E79" s="12">
        <v>68.8</v>
      </c>
      <c r="F79" s="12">
        <v>63.7</v>
      </c>
      <c r="G79" s="12">
        <v>68.8</v>
      </c>
      <c r="H79" s="13">
        <f t="shared" si="0"/>
        <v>-1.2912482065997212E-2</v>
      </c>
      <c r="I79" s="14">
        <v>178155140</v>
      </c>
      <c r="J79" s="19">
        <v>3.5000000000000003E-2</v>
      </c>
      <c r="K79" s="14">
        <v>2691409</v>
      </c>
      <c r="L79" s="14">
        <f t="shared" ref="L79:L81" si="22">G79*1261875720</f>
        <v>86817049536</v>
      </c>
      <c r="M79" s="12">
        <f t="shared" ref="M79" si="23">G79/(9352763248/1261875720)</f>
        <v>9.2825026394809047</v>
      </c>
      <c r="N79" s="15">
        <f t="shared" ref="N79" si="24">6/G79</f>
        <v>8.7209302325581398E-2</v>
      </c>
      <c r="O79" s="22"/>
      <c r="P79" s="22"/>
    </row>
    <row r="80" spans="1:16" ht="25.2" x14ac:dyDescent="0.25">
      <c r="A80" s="10">
        <v>46083</v>
      </c>
      <c r="B80" s="2" t="s">
        <v>13</v>
      </c>
      <c r="C80" s="11">
        <v>17</v>
      </c>
      <c r="D80" s="12">
        <v>36</v>
      </c>
      <c r="E80" s="12">
        <v>36.51</v>
      </c>
      <c r="F80" s="12">
        <v>35.61</v>
      </c>
      <c r="G80" s="12">
        <v>36.01</v>
      </c>
      <c r="H80" s="13">
        <f t="shared" si="0"/>
        <v>2.7777777777772254E-4</v>
      </c>
      <c r="I80" s="14">
        <v>58167208</v>
      </c>
      <c r="J80" s="19">
        <v>1.2999999999999999E-2</v>
      </c>
      <c r="K80" s="14">
        <v>1607829</v>
      </c>
      <c r="L80" s="14">
        <f t="shared" si="19"/>
        <v>103281730870.62999</v>
      </c>
      <c r="M80" s="12">
        <f t="shared" ref="M80" si="25">G80/(15119739368/2868140263)</f>
        <v>6.830920054694821</v>
      </c>
      <c r="N80" s="15">
        <f t="shared" ref="N80" si="26">((3.5*2079184011)/2868140263)/G80</f>
        <v>7.045916036801611E-2</v>
      </c>
      <c r="O80" s="22"/>
      <c r="P80" s="22"/>
    </row>
    <row r="81" spans="1:16" ht="25.2" x14ac:dyDescent="0.25">
      <c r="A81" s="10">
        <v>46083</v>
      </c>
      <c r="B81" s="2" t="s">
        <v>14</v>
      </c>
      <c r="C81" s="11">
        <v>11</v>
      </c>
      <c r="D81" s="12">
        <v>68.8</v>
      </c>
      <c r="E81" s="12">
        <v>68.599999999999994</v>
      </c>
      <c r="F81" s="12">
        <v>66.3</v>
      </c>
      <c r="G81" s="12">
        <v>67.8</v>
      </c>
      <c r="H81" s="13">
        <f t="shared" si="0"/>
        <v>-1.4534883720930232E-2</v>
      </c>
      <c r="I81" s="14">
        <v>100532119</v>
      </c>
      <c r="J81" s="19">
        <f>I81/4663311258</f>
        <v>2.1558097548718246E-2</v>
      </c>
      <c r="K81" s="14">
        <v>1484934</v>
      </c>
      <c r="L81" s="14">
        <f t="shared" si="22"/>
        <v>85555173816</v>
      </c>
      <c r="M81" s="12">
        <f t="shared" ref="M81" si="27">G81/(9352763248/1261875720)</f>
        <v>9.1475825429768207</v>
      </c>
      <c r="N81" s="15">
        <f t="shared" ref="N81" si="28">6/G81</f>
        <v>8.8495575221238937E-2</v>
      </c>
      <c r="O81" s="22"/>
      <c r="P81" s="22"/>
    </row>
    <row r="82" spans="1:16" ht="25.2" x14ac:dyDescent="0.25">
      <c r="A82" s="10">
        <v>46084</v>
      </c>
      <c r="B82" s="2" t="s">
        <v>13</v>
      </c>
      <c r="C82" s="11">
        <v>5</v>
      </c>
      <c r="D82" s="12">
        <v>36.01</v>
      </c>
      <c r="E82" s="12">
        <v>39</v>
      </c>
      <c r="F82" s="12">
        <v>35.630000000000003</v>
      </c>
      <c r="G82" s="12">
        <v>38.5</v>
      </c>
      <c r="H82" s="13">
        <f t="shared" si="0"/>
        <v>6.9147459039155854E-2</v>
      </c>
      <c r="I82" s="14">
        <v>234839421</v>
      </c>
      <c r="J82" s="20">
        <v>3.9E-2</v>
      </c>
      <c r="K82" s="14">
        <v>6266159</v>
      </c>
      <c r="L82" s="14">
        <f t="shared" ref="L82" si="29">G82*2868140263</f>
        <v>110423400125.5</v>
      </c>
      <c r="M82" s="12">
        <f t="shared" ref="M82" si="30">G82/(15119739368/2868140263)</f>
        <v>7.3032608193765798</v>
      </c>
      <c r="N82" s="15">
        <f t="shared" ref="N82" si="31">((3.5*2079184011)/2868140263)/G82</f>
        <v>6.5902191294863896E-2</v>
      </c>
      <c r="O82" s="22"/>
      <c r="P82" s="22"/>
    </row>
    <row r="83" spans="1:16" ht="25.2" x14ac:dyDescent="0.25">
      <c r="A83" s="10">
        <v>46084</v>
      </c>
      <c r="B83" s="2" t="s">
        <v>14</v>
      </c>
      <c r="C83" s="11">
        <v>2</v>
      </c>
      <c r="D83" s="12">
        <v>67.8</v>
      </c>
      <c r="E83" s="12">
        <v>79.8</v>
      </c>
      <c r="F83" s="12">
        <v>66.650000000000006</v>
      </c>
      <c r="G83" s="12">
        <v>77.89</v>
      </c>
      <c r="H83" s="13">
        <f t="shared" si="0"/>
        <v>0.1488200589970502</v>
      </c>
      <c r="I83" s="14">
        <v>411797276</v>
      </c>
      <c r="J83" s="20">
        <v>6.8000000000000005E-2</v>
      </c>
      <c r="K83" s="14">
        <v>5694239</v>
      </c>
      <c r="L83" s="14">
        <f t="shared" ref="L83" si="32">G83*1261875720</f>
        <v>98287499830.800003</v>
      </c>
      <c r="M83" s="12">
        <f t="shared" ref="M83" si="33">G83/(9352763248/1261875720)</f>
        <v>10.508926316703018</v>
      </c>
      <c r="N83" s="15">
        <f t="shared" ref="N83" si="34">6/G83</f>
        <v>7.7031711387854668E-2</v>
      </c>
      <c r="O83" s="22"/>
      <c r="P83" s="22"/>
    </row>
    <row r="84" spans="1:16" ht="25.2" x14ac:dyDescent="0.25">
      <c r="A84" s="10">
        <v>46085</v>
      </c>
      <c r="B84" s="2" t="s">
        <v>13</v>
      </c>
      <c r="C84" s="11">
        <v>6</v>
      </c>
      <c r="D84" s="12">
        <v>38.5</v>
      </c>
      <c r="E84" s="12">
        <v>42</v>
      </c>
      <c r="F84" s="12">
        <v>39.11</v>
      </c>
      <c r="G84" s="12">
        <v>40.53</v>
      </c>
      <c r="H84" s="13">
        <f t="shared" si="0"/>
        <v>5.2727272727272755E-2</v>
      </c>
      <c r="I84" s="14">
        <v>339068101</v>
      </c>
      <c r="J84" s="20">
        <v>4.4999999999999998E-2</v>
      </c>
      <c r="K84" s="14">
        <v>8394686</v>
      </c>
      <c r="L84" s="14">
        <f t="shared" ref="L84" si="35">G84*2868140263</f>
        <v>116245724859.39</v>
      </c>
      <c r="M84" s="12">
        <f t="shared" ref="M84" si="36">G84/(15119739368/2868140263)</f>
        <v>7.6883418443982539</v>
      </c>
      <c r="N84" s="15">
        <f t="shared" ref="N84" si="37">((3.5*2079184011)/2868140263)/G84</f>
        <v>6.2601390694603007E-2</v>
      </c>
      <c r="O84" s="22"/>
      <c r="P84" s="22"/>
    </row>
    <row r="85" spans="1:16" ht="25.2" x14ac:dyDescent="0.25">
      <c r="A85" s="10">
        <v>46085</v>
      </c>
      <c r="B85" s="2" t="s">
        <v>14</v>
      </c>
      <c r="C85" s="11">
        <v>4</v>
      </c>
      <c r="D85" s="12">
        <v>77.89</v>
      </c>
      <c r="E85" s="12">
        <v>85.84</v>
      </c>
      <c r="F85" s="12">
        <v>77.900000000000006</v>
      </c>
      <c r="G85" s="12">
        <v>78.64</v>
      </c>
      <c r="H85" s="13">
        <f t="shared" si="0"/>
        <v>9.6289639234818335E-3</v>
      </c>
      <c r="I85" s="14">
        <v>458576007</v>
      </c>
      <c r="J85" s="20">
        <v>6.0999999999999999E-2</v>
      </c>
      <c r="K85" s="14">
        <v>5681375</v>
      </c>
      <c r="L85" s="14">
        <f t="shared" ref="L85" si="38">G85*1261875720</f>
        <v>99233906620.800003</v>
      </c>
      <c r="M85" s="12">
        <f t="shared" ref="M85" si="39">G85/(9352763248/1261875720)</f>
        <v>10.61011638908108</v>
      </c>
      <c r="N85" s="15">
        <f t="shared" ref="N85" si="40">6/G85</f>
        <v>7.6297049847405901E-2</v>
      </c>
      <c r="O85" s="22"/>
      <c r="P85" s="22"/>
    </row>
    <row r="86" spans="1:16" ht="25.2" x14ac:dyDescent="0.25">
      <c r="A86" s="10">
        <v>46086</v>
      </c>
      <c r="B86" s="2" t="s">
        <v>13</v>
      </c>
      <c r="C86" s="11">
        <v>12</v>
      </c>
      <c r="D86" s="12">
        <v>40.53</v>
      </c>
      <c r="E86" s="12">
        <v>40.549999999999997</v>
      </c>
      <c r="F86" s="12">
        <v>39.6</v>
      </c>
      <c r="G86" s="12">
        <v>39.65</v>
      </c>
      <c r="H86" s="13">
        <f t="shared" si="0"/>
        <v>-2.1712311867752344E-2</v>
      </c>
      <c r="I86" s="14">
        <v>126159119</v>
      </c>
      <c r="J86" s="20">
        <v>2.1000000000000001E-2</v>
      </c>
      <c r="K86" s="14">
        <v>3150284</v>
      </c>
      <c r="L86" s="14">
        <f t="shared" ref="L86" si="41">G86*2868140263</f>
        <v>113721761427.95</v>
      </c>
      <c r="M86" s="12">
        <f t="shared" ref="M86" si="42">G86/(15119739368/2868140263)</f>
        <v>7.5214101685267885</v>
      </c>
      <c r="N86" s="15">
        <f t="shared" ref="N86" si="43">((3.5*2079184011)/2868140263)/G86</f>
        <v>6.3990778432591683E-2</v>
      </c>
      <c r="O86" s="22"/>
      <c r="P86" s="22"/>
    </row>
    <row r="87" spans="1:16" ht="25.2" x14ac:dyDescent="0.25">
      <c r="A87" s="10">
        <v>46086</v>
      </c>
      <c r="B87" s="2" t="s">
        <v>14</v>
      </c>
      <c r="C87" s="11">
        <v>15</v>
      </c>
      <c r="D87" s="12">
        <v>78.64</v>
      </c>
      <c r="E87" s="12">
        <v>81.260000000000005</v>
      </c>
      <c r="F87" s="12">
        <v>77.510000000000005</v>
      </c>
      <c r="G87" s="12">
        <v>77.930000000000007</v>
      </c>
      <c r="H87" s="13">
        <f t="shared" si="0"/>
        <v>-9.0284842319429525E-3</v>
      </c>
      <c r="I87" s="14">
        <v>103197498</v>
      </c>
      <c r="J87" s="20">
        <v>1.7000000000000001E-2</v>
      </c>
      <c r="K87" s="14">
        <v>1309296</v>
      </c>
      <c r="L87" s="14">
        <f t="shared" ref="L87" si="44">G87*1261875720</f>
        <v>98337974859.600006</v>
      </c>
      <c r="M87" s="12">
        <f t="shared" ref="M87" si="45">G87/(9352763248/1261875720)</f>
        <v>10.514323120563182</v>
      </c>
      <c r="N87" s="15">
        <f t="shared" ref="N87" si="46">6/G87</f>
        <v>7.6992172462466313E-2</v>
      </c>
      <c r="O87" s="22"/>
      <c r="P87" s="22"/>
    </row>
    <row r="88" spans="1:16" ht="25.2" x14ac:dyDescent="0.25">
      <c r="A88" s="10">
        <v>46089</v>
      </c>
      <c r="B88" s="2" t="s">
        <v>13</v>
      </c>
      <c r="C88" s="11">
        <v>7</v>
      </c>
      <c r="D88" s="12">
        <v>39.65</v>
      </c>
      <c r="E88" s="12">
        <v>45</v>
      </c>
      <c r="F88" s="12">
        <v>42</v>
      </c>
      <c r="G88" s="12">
        <v>43.56</v>
      </c>
      <c r="H88" s="13">
        <f t="shared" si="0"/>
        <v>9.8612862547288876E-2</v>
      </c>
      <c r="I88" s="14">
        <v>309462620</v>
      </c>
      <c r="J88" s="20">
        <v>4.2000000000000003E-2</v>
      </c>
      <c r="K88" s="14">
        <v>7071815</v>
      </c>
      <c r="L88" s="14">
        <f t="shared" ref="L88" si="47">G88*2868140263</f>
        <v>124936189856.28001</v>
      </c>
      <c r="M88" s="12">
        <f t="shared" ref="M88" si="48">G88/(15119739368/2868140263)</f>
        <v>8.2631179556375027</v>
      </c>
      <c r="N88" s="15">
        <f t="shared" ref="N88" si="49">((3.5*2079184011)/2868140263)/G88</f>
        <v>5.8246886245460518E-2</v>
      </c>
      <c r="O88" s="22"/>
      <c r="P88" s="22"/>
    </row>
    <row r="89" spans="1:16" ht="25.2" x14ac:dyDescent="0.25">
      <c r="A89" s="10">
        <v>46089</v>
      </c>
      <c r="B89" s="2" t="s">
        <v>14</v>
      </c>
      <c r="C89" s="11">
        <v>4</v>
      </c>
      <c r="D89" s="12">
        <v>77.930000000000007</v>
      </c>
      <c r="E89" s="12">
        <v>91.5</v>
      </c>
      <c r="F89" s="12">
        <v>83</v>
      </c>
      <c r="G89" s="12">
        <v>87</v>
      </c>
      <c r="H89" s="13">
        <f t="shared" si="0"/>
        <v>0.11638650070576148</v>
      </c>
      <c r="I89" s="14">
        <v>458905305</v>
      </c>
      <c r="J89" s="20">
        <v>6.2E-2</v>
      </c>
      <c r="K89" s="14">
        <v>5281360</v>
      </c>
      <c r="L89" s="14">
        <f t="shared" ref="L89" si="50">G89*1261875720</f>
        <v>109783187640</v>
      </c>
      <c r="M89" s="12">
        <f t="shared" ref="M89" si="51">G89/(9352763248/1261875720)</f>
        <v>11.738048395855213</v>
      </c>
      <c r="N89" s="15">
        <f t="shared" ref="N89" si="52">6/G89</f>
        <v>6.8965517241379309E-2</v>
      </c>
      <c r="O89" s="22"/>
      <c r="P89" s="22"/>
    </row>
    <row r="90" spans="1:16" ht="25.2" x14ac:dyDescent="0.25">
      <c r="A90" s="10">
        <v>46090</v>
      </c>
      <c r="B90" s="2" t="s">
        <v>13</v>
      </c>
      <c r="C90" s="11">
        <v>18</v>
      </c>
      <c r="D90" s="12">
        <v>43.56</v>
      </c>
      <c r="E90" s="12">
        <v>45.45</v>
      </c>
      <c r="F90" s="12">
        <v>42.2</v>
      </c>
      <c r="G90" s="12">
        <v>43.3</v>
      </c>
      <c r="H90" s="13">
        <f t="shared" si="0"/>
        <v>-5.9687786960515403E-3</v>
      </c>
      <c r="I90" s="14">
        <v>169133609</v>
      </c>
      <c r="J90" s="20">
        <v>2.1000000000000001E-2</v>
      </c>
      <c r="K90" s="14">
        <v>3855436</v>
      </c>
      <c r="L90" s="14">
        <f t="shared" ref="L90" si="53">G90*2868140263</f>
        <v>124190473387.89999</v>
      </c>
      <c r="M90" s="12">
        <f t="shared" ref="M90" si="54">G90/(15119739368/2868140263)</f>
        <v>8.2137972332209319</v>
      </c>
      <c r="N90" s="15">
        <f t="shared" ref="N90" si="55">((3.5*2079184011)/2868140263)/G90</f>
        <v>5.8596636601668833E-2</v>
      </c>
      <c r="O90" s="22"/>
      <c r="P90" s="22"/>
    </row>
    <row r="91" spans="1:16" ht="25.2" x14ac:dyDescent="0.25">
      <c r="A91" s="10">
        <v>46090</v>
      </c>
      <c r="B91" s="2" t="s">
        <v>14</v>
      </c>
      <c r="C91" s="11">
        <v>9</v>
      </c>
      <c r="D91" s="12">
        <v>87</v>
      </c>
      <c r="E91" s="12">
        <v>91.8</v>
      </c>
      <c r="F91" s="12">
        <v>82.1</v>
      </c>
      <c r="G91" s="12">
        <v>84.1</v>
      </c>
      <c r="H91" s="13">
        <f t="shared" si="0"/>
        <v>-3.3333333333333395E-2</v>
      </c>
      <c r="I91" s="14">
        <v>262868356</v>
      </c>
      <c r="J91" s="20">
        <v>3.3000000000000002E-2</v>
      </c>
      <c r="K91" s="14">
        <v>3040448</v>
      </c>
      <c r="L91" s="14">
        <f t="shared" ref="L91" si="56">G91*1261875720</f>
        <v>106123748052</v>
      </c>
      <c r="M91" s="12">
        <f t="shared" ref="M91" si="57">G91/(9352763248/1261875720)</f>
        <v>11.346780115993372</v>
      </c>
      <c r="N91" s="15">
        <f t="shared" ref="N91" si="58">6/G91</f>
        <v>7.1343638525564815E-2</v>
      </c>
      <c r="O91" s="22"/>
      <c r="P91" s="22"/>
    </row>
    <row r="92" spans="1:16" ht="25.2" x14ac:dyDescent="0.25">
      <c r="A92" s="10">
        <v>46091</v>
      </c>
      <c r="B92" s="2" t="s">
        <v>13</v>
      </c>
      <c r="C92" s="11">
        <v>19</v>
      </c>
      <c r="D92" s="12">
        <v>43.3</v>
      </c>
      <c r="E92" s="12">
        <v>42.51</v>
      </c>
      <c r="F92" s="12">
        <v>40.76</v>
      </c>
      <c r="G92" s="12">
        <v>41.9</v>
      </c>
      <c r="H92" s="13">
        <f t="shared" si="0"/>
        <v>-3.2332563510392577E-2</v>
      </c>
      <c r="I92" s="14">
        <v>101151733</v>
      </c>
      <c r="J92" s="19">
        <v>1.6E-2</v>
      </c>
      <c r="K92" s="14">
        <v>2443190</v>
      </c>
      <c r="L92" s="14">
        <f t="shared" ref="L92" si="59">G92*2868140263</f>
        <v>120175077019.7</v>
      </c>
      <c r="M92" s="12">
        <f t="shared" ref="M92" si="60">G92/(15119739368/2868140263)</f>
        <v>7.9482241125163293</v>
      </c>
      <c r="N92" s="15">
        <f>((3.5*2079184011)/2868140263)/G92</f>
        <v>6.0554519447547979E-2</v>
      </c>
      <c r="O92" s="22"/>
      <c r="P92" s="22"/>
    </row>
    <row r="93" spans="1:16" ht="25.2" x14ac:dyDescent="0.25">
      <c r="A93" s="10" t="s">
        <v>26</v>
      </c>
      <c r="B93" s="2" t="s">
        <v>14</v>
      </c>
      <c r="C93" s="11">
        <v>11</v>
      </c>
      <c r="D93" s="12">
        <v>84.1</v>
      </c>
      <c r="E93" s="12">
        <v>82.86</v>
      </c>
      <c r="F93" s="12">
        <v>78.5</v>
      </c>
      <c r="G93" s="12">
        <v>79.900000000000006</v>
      </c>
      <c r="H93" s="13">
        <f t="shared" ref="H93:H293" si="61">(G93-D93)/D93</f>
        <v>-4.9940546967895232E-2</v>
      </c>
      <c r="I93" s="14">
        <v>167770816</v>
      </c>
      <c r="J93" s="20">
        <v>2.7E-2</v>
      </c>
      <c r="K93" s="14">
        <v>2091433</v>
      </c>
      <c r="L93" s="14">
        <f t="shared" ref="L93" si="62">G93*1261875720</f>
        <v>100823870028</v>
      </c>
      <c r="M93" s="12">
        <f t="shared" ref="M93" si="63">G93/(9352763248/1261875720)</f>
        <v>10.780115710676226</v>
      </c>
      <c r="N93" s="15">
        <f t="shared" ref="N93" si="64">6/G93</f>
        <v>7.5093867334167702E-2</v>
      </c>
      <c r="O93" s="22"/>
      <c r="P93" s="22"/>
    </row>
    <row r="94" spans="1:16" ht="25.2" x14ac:dyDescent="0.25">
      <c r="A94" s="10">
        <v>46092</v>
      </c>
      <c r="B94" s="2" t="s">
        <v>13</v>
      </c>
      <c r="C94" s="11">
        <v>11</v>
      </c>
      <c r="D94" s="12">
        <v>41.9</v>
      </c>
      <c r="E94" s="12">
        <v>43.97</v>
      </c>
      <c r="F94" s="12">
        <v>42.05</v>
      </c>
      <c r="G94" s="12">
        <v>43.51</v>
      </c>
      <c r="H94" s="13">
        <f t="shared" si="0"/>
        <v>3.8424821002386624E-2</v>
      </c>
      <c r="I94" s="14">
        <v>105432812</v>
      </c>
      <c r="J94" s="19">
        <v>0.02</v>
      </c>
      <c r="K94" s="14">
        <v>2451584</v>
      </c>
      <c r="L94" s="14">
        <f t="shared" ref="L94" si="65">G94*2868140263</f>
        <v>124792782843.12999</v>
      </c>
      <c r="M94" s="12">
        <f>G94/(11296540287/2868140263)</f>
        <v>11.046991350682907</v>
      </c>
      <c r="N94" s="15" t="s">
        <v>22</v>
      </c>
      <c r="O94" s="22"/>
      <c r="P94" s="22"/>
    </row>
    <row r="95" spans="1:16" ht="25.2" x14ac:dyDescent="0.25">
      <c r="A95" s="10">
        <v>46092</v>
      </c>
      <c r="B95" s="2" t="s">
        <v>14</v>
      </c>
      <c r="C95" s="11">
        <v>5</v>
      </c>
      <c r="D95" s="12">
        <v>79.900000000000006</v>
      </c>
      <c r="E95" s="12">
        <v>85</v>
      </c>
      <c r="F95" s="12">
        <v>80.5</v>
      </c>
      <c r="G95" s="12">
        <v>85</v>
      </c>
      <c r="H95" s="13">
        <f t="shared" si="61"/>
        <v>6.3829787234042479E-2</v>
      </c>
      <c r="I95" s="14">
        <v>157664780</v>
      </c>
      <c r="J95" s="19">
        <v>0.03</v>
      </c>
      <c r="K95" s="14">
        <v>1896414</v>
      </c>
      <c r="L95" s="14">
        <f t="shared" ref="L95" si="66">G95*1261875720</f>
        <v>107259436200</v>
      </c>
      <c r="M95" s="12">
        <f t="shared" ref="M95" si="67">G95/(9352763248/1261875720)</f>
        <v>11.468208202847048</v>
      </c>
      <c r="N95" s="15">
        <f t="shared" ref="N95" si="68">6/G95</f>
        <v>7.0588235294117646E-2</v>
      </c>
      <c r="O95" s="22"/>
      <c r="P95" s="22"/>
    </row>
    <row r="96" spans="1:16" ht="25.2" x14ac:dyDescent="0.25">
      <c r="A96" s="10">
        <v>46093</v>
      </c>
      <c r="B96" s="2" t="s">
        <v>13</v>
      </c>
      <c r="C96" s="11">
        <v>5</v>
      </c>
      <c r="D96" s="12">
        <v>43.51</v>
      </c>
      <c r="E96" s="12">
        <v>45.4</v>
      </c>
      <c r="F96" s="12">
        <v>43.63</v>
      </c>
      <c r="G96" s="12">
        <v>44.5</v>
      </c>
      <c r="H96" s="13">
        <f t="shared" si="0"/>
        <v>2.2753390025281591E-2</v>
      </c>
      <c r="I96" s="14">
        <v>229285229</v>
      </c>
      <c r="J96" s="20">
        <v>3.4000000000000002E-2</v>
      </c>
      <c r="K96" s="14">
        <v>5133142</v>
      </c>
      <c r="L96" s="14">
        <f t="shared" ref="L96" si="69">G96*2868140263</f>
        <v>127632241703.5</v>
      </c>
      <c r="M96" s="12">
        <f>G96/(11296540287/2868140263)</f>
        <v>11.298347853490908</v>
      </c>
      <c r="N96" s="15" t="s">
        <v>22</v>
      </c>
      <c r="O96" s="22"/>
      <c r="P96" s="22"/>
    </row>
    <row r="97" spans="1:16" ht="25.2" x14ac:dyDescent="0.25">
      <c r="A97" s="10">
        <v>46093</v>
      </c>
      <c r="B97" s="2" t="s">
        <v>14</v>
      </c>
      <c r="C97" s="11">
        <v>4</v>
      </c>
      <c r="D97" s="12">
        <v>85</v>
      </c>
      <c r="E97" s="12">
        <v>89</v>
      </c>
      <c r="F97" s="12">
        <v>85.5</v>
      </c>
      <c r="G97" s="12">
        <v>88.06</v>
      </c>
      <c r="H97" s="13">
        <f t="shared" si="61"/>
        <v>3.6000000000000025E-2</v>
      </c>
      <c r="I97" s="14">
        <v>347846636</v>
      </c>
      <c r="J97" s="20">
        <v>5.1999999999999998E-2</v>
      </c>
      <c r="K97" s="14">
        <v>3972641</v>
      </c>
      <c r="L97" s="14">
        <f t="shared" ref="L97" si="70">G97*1261875720</f>
        <v>111120775903.2</v>
      </c>
      <c r="M97" s="12">
        <f t="shared" ref="M97" si="71">G97/(9352763248/1261875720)</f>
        <v>11.881063698149541</v>
      </c>
      <c r="N97" s="15">
        <f t="shared" ref="N97" si="72">6/G97</f>
        <v>6.8135362253009313E-2</v>
      </c>
      <c r="O97" s="22"/>
      <c r="P97" s="22"/>
    </row>
    <row r="98" spans="1:16" ht="25.2" x14ac:dyDescent="0.25">
      <c r="A98" s="10">
        <v>46096</v>
      </c>
      <c r="B98" s="2" t="s">
        <v>13</v>
      </c>
      <c r="C98" s="11">
        <v>5</v>
      </c>
      <c r="D98" s="12">
        <v>44.5</v>
      </c>
      <c r="E98" s="12">
        <v>46.03</v>
      </c>
      <c r="F98" s="12">
        <v>44</v>
      </c>
      <c r="G98" s="12">
        <v>44.63</v>
      </c>
      <c r="H98" s="13">
        <f t="shared" si="61"/>
        <v>2.9213483146067992E-3</v>
      </c>
      <c r="I98" s="14">
        <v>202704939</v>
      </c>
      <c r="J98" s="20">
        <v>4.8000000000000001E-2</v>
      </c>
      <c r="K98" s="14">
        <v>4490130</v>
      </c>
      <c r="L98" s="14">
        <f t="shared" ref="L98" si="73">G98*2868140263</f>
        <v>128005099937.69</v>
      </c>
      <c r="M98" s="12">
        <f>G98/(11296540287/2868140263)</f>
        <v>11.331354262950544</v>
      </c>
      <c r="N98" s="15" t="s">
        <v>22</v>
      </c>
      <c r="O98" s="22"/>
      <c r="P98" s="22"/>
    </row>
    <row r="99" spans="1:16" ht="25.2" x14ac:dyDescent="0.25">
      <c r="A99" s="10">
        <v>46096</v>
      </c>
      <c r="B99" s="2" t="s">
        <v>14</v>
      </c>
      <c r="C99" s="11">
        <v>2</v>
      </c>
      <c r="D99" s="12">
        <v>88.06</v>
      </c>
      <c r="E99" s="12">
        <v>90.35</v>
      </c>
      <c r="F99" s="12">
        <v>85.53</v>
      </c>
      <c r="G99" s="12">
        <v>86</v>
      </c>
      <c r="H99" s="13">
        <f t="shared" si="61"/>
        <v>-2.3393141040199888E-2</v>
      </c>
      <c r="I99" s="14">
        <v>287230609</v>
      </c>
      <c r="J99" s="20">
        <v>6.8000000000000005E-2</v>
      </c>
      <c r="K99" s="14">
        <v>3272704</v>
      </c>
      <c r="L99" s="14">
        <f t="shared" ref="L99" si="74">G99*1261875720</f>
        <v>108521311920</v>
      </c>
      <c r="M99" s="12">
        <f t="shared" ref="M99" si="75">G99/(9352763248/1261875720)</f>
        <v>11.60312829935113</v>
      </c>
      <c r="N99" s="15">
        <f t="shared" ref="N99" si="76">6/G99</f>
        <v>6.9767441860465115E-2</v>
      </c>
      <c r="O99" s="22"/>
      <c r="P99" s="22"/>
    </row>
    <row r="100" spans="1:16" ht="25.2" x14ac:dyDescent="0.25">
      <c r="A100" s="17">
        <v>46097</v>
      </c>
      <c r="B100" s="2" t="s">
        <v>13</v>
      </c>
      <c r="C100" s="11">
        <v>10</v>
      </c>
      <c r="D100" s="12">
        <v>44.63</v>
      </c>
      <c r="E100" s="12">
        <v>45.08</v>
      </c>
      <c r="F100" s="12">
        <v>42.84</v>
      </c>
      <c r="G100" s="12">
        <v>43.2</v>
      </c>
      <c r="H100" s="13">
        <f t="shared" si="61"/>
        <v>-3.2041227873627599E-2</v>
      </c>
      <c r="I100" s="14">
        <v>103000860</v>
      </c>
      <c r="J100" s="21">
        <v>2.4E-2</v>
      </c>
      <c r="K100" s="14">
        <v>2336611</v>
      </c>
      <c r="L100" s="14">
        <f t="shared" ref="L100" si="77">G100*2868140263</f>
        <v>123903659361.60001</v>
      </c>
      <c r="M100" s="12">
        <f>G100/(11296540287/2868140263)</f>
        <v>10.968283758894545</v>
      </c>
      <c r="N100" s="15" t="s">
        <v>22</v>
      </c>
      <c r="O100" s="22"/>
      <c r="P100" s="22"/>
    </row>
    <row r="101" spans="1:16" ht="25.2" x14ac:dyDescent="0.25">
      <c r="A101" s="17">
        <v>46097</v>
      </c>
      <c r="B101" s="2" t="s">
        <v>14</v>
      </c>
      <c r="C101" s="11">
        <v>6</v>
      </c>
      <c r="D101" s="12">
        <v>86</v>
      </c>
      <c r="E101" s="12">
        <v>87.95</v>
      </c>
      <c r="F101" s="12">
        <v>82.5</v>
      </c>
      <c r="G101" s="12">
        <v>86.67</v>
      </c>
      <c r="H101" s="13">
        <f t="shared" si="61"/>
        <v>7.7906976744186243E-3</v>
      </c>
      <c r="I101" s="14">
        <v>173030597</v>
      </c>
      <c r="J101" s="21">
        <v>0.04</v>
      </c>
      <c r="K101" s="14">
        <v>2032452</v>
      </c>
      <c r="L101" s="14">
        <f t="shared" ref="L101" si="78">G101*1261875720</f>
        <v>109366768652.40001</v>
      </c>
      <c r="M101" s="12">
        <f t="shared" ref="M101" si="79">G101/(9352763248/1261875720)</f>
        <v>11.693524764008867</v>
      </c>
      <c r="N101" s="15">
        <f t="shared" ref="N101" si="80">6/G101</f>
        <v>6.9228106611284174E-2</v>
      </c>
      <c r="O101" s="22"/>
      <c r="P101" s="22"/>
    </row>
    <row r="102" spans="1:16" ht="25.2" x14ac:dyDescent="0.25">
      <c r="A102" s="17">
        <v>46098</v>
      </c>
      <c r="B102" s="2" t="s">
        <v>13</v>
      </c>
      <c r="C102" s="11">
        <v>9</v>
      </c>
      <c r="D102" s="12">
        <v>43.2</v>
      </c>
      <c r="E102" s="12">
        <v>43.69</v>
      </c>
      <c r="F102" s="12">
        <v>42.84</v>
      </c>
      <c r="G102" s="12">
        <v>42.88</v>
      </c>
      <c r="H102" s="13">
        <f t="shared" si="61"/>
        <v>-7.4074074074074138E-3</v>
      </c>
      <c r="I102" s="14">
        <v>124946922</v>
      </c>
      <c r="J102" s="20">
        <v>2.7E-2</v>
      </c>
      <c r="K102" s="14">
        <v>2897683</v>
      </c>
      <c r="L102" s="14">
        <f t="shared" ref="L102" si="81">G102*2868140263</f>
        <v>122985854477.44</v>
      </c>
      <c r="M102" s="12">
        <f>G102/(11296540287/2868140263)</f>
        <v>10.887037212532363</v>
      </c>
      <c r="N102" s="15" t="s">
        <v>22</v>
      </c>
      <c r="O102" s="22"/>
      <c r="P102" s="22"/>
    </row>
    <row r="103" spans="1:16" ht="25.2" x14ac:dyDescent="0.25">
      <c r="A103" s="17">
        <v>46098</v>
      </c>
      <c r="B103" s="2" t="s">
        <v>14</v>
      </c>
      <c r="C103" s="11">
        <v>8</v>
      </c>
      <c r="D103" s="12">
        <v>86.67</v>
      </c>
      <c r="E103" s="12">
        <v>87.99</v>
      </c>
      <c r="F103" s="12">
        <v>85.5</v>
      </c>
      <c r="G103" s="12">
        <v>87.55</v>
      </c>
      <c r="H103" s="13">
        <f t="shared" si="61"/>
        <v>1.0153455636321628E-2</v>
      </c>
      <c r="I103" s="14">
        <v>133615757</v>
      </c>
      <c r="J103" s="20">
        <v>2.9000000000000001E-2</v>
      </c>
      <c r="K103" s="14">
        <v>1536297</v>
      </c>
      <c r="L103" s="14">
        <f t="shared" ref="L103" si="82">G103*1261875720</f>
        <v>110477219286</v>
      </c>
      <c r="M103" s="12">
        <f t="shared" ref="M103" si="83">G103/(9352763248/1261875720)</f>
        <v>11.812254448932459</v>
      </c>
      <c r="N103" s="15">
        <f t="shared" ref="N103" si="84">6/G103</f>
        <v>6.8532267275842385E-2</v>
      </c>
      <c r="O103" s="22"/>
      <c r="P103" s="22"/>
    </row>
    <row r="104" spans="1:16" ht="25.2" x14ac:dyDescent="0.25">
      <c r="A104" s="17">
        <v>46099</v>
      </c>
      <c r="B104" s="2" t="s">
        <v>13</v>
      </c>
      <c r="C104" s="11">
        <v>21</v>
      </c>
      <c r="D104" s="11">
        <v>42.88</v>
      </c>
      <c r="E104" s="11">
        <v>43.62</v>
      </c>
      <c r="F104" s="11">
        <v>42.8</v>
      </c>
      <c r="G104" s="11">
        <v>43.19</v>
      </c>
      <c r="H104" s="13">
        <f t="shared" si="61"/>
        <v>7.2294776119401858E-3</v>
      </c>
      <c r="I104" s="14">
        <v>69474307</v>
      </c>
      <c r="J104" s="19">
        <f>I104/8563922210</f>
        <v>8.1124402226441985E-3</v>
      </c>
      <c r="K104" s="14">
        <v>1606900</v>
      </c>
      <c r="L104" s="14">
        <f t="shared" ref="L104" si="85">G104*2868140263</f>
        <v>123874977958.96999</v>
      </c>
      <c r="M104" s="12">
        <f>G104/(11296540287/2868140263)</f>
        <v>10.965744804320725</v>
      </c>
      <c r="N104" s="15" t="s">
        <v>22</v>
      </c>
      <c r="O104" s="22"/>
      <c r="P104" s="22"/>
    </row>
    <row r="105" spans="1:16" ht="25.2" x14ac:dyDescent="0.25">
      <c r="A105" s="17">
        <v>46099</v>
      </c>
      <c r="B105" s="2" t="s">
        <v>14</v>
      </c>
      <c r="C105" s="11">
        <v>18</v>
      </c>
      <c r="D105" s="11">
        <v>87.55</v>
      </c>
      <c r="E105" s="11">
        <v>88.1</v>
      </c>
      <c r="F105" s="11">
        <v>86.75</v>
      </c>
      <c r="G105" s="11">
        <v>87</v>
      </c>
      <c r="H105" s="13">
        <f t="shared" si="61"/>
        <v>-6.2821245002855188E-3</v>
      </c>
      <c r="I105" s="14">
        <v>88837621</v>
      </c>
      <c r="J105" s="19">
        <v>1.0999999999999999E-2</v>
      </c>
      <c r="K105" s="14">
        <v>1015783</v>
      </c>
      <c r="L105" s="14">
        <f t="shared" ref="L105" si="86">G105*1261875720</f>
        <v>109783187640</v>
      </c>
      <c r="M105" s="12">
        <f t="shared" ref="M105" si="87">G105/(9352763248/1261875720)</f>
        <v>11.738048395855213</v>
      </c>
      <c r="N105" s="15">
        <f t="shared" ref="N105" si="88">6/G105</f>
        <v>6.8965517241379309E-2</v>
      </c>
      <c r="O105" s="22"/>
      <c r="P105" s="22"/>
    </row>
    <row r="106" spans="1:16" ht="25.2" x14ac:dyDescent="0.25">
      <c r="A106" s="17">
        <v>46105</v>
      </c>
      <c r="B106" s="2" t="s">
        <v>13</v>
      </c>
      <c r="C106" s="11">
        <v>9</v>
      </c>
      <c r="D106" s="11">
        <v>43.19</v>
      </c>
      <c r="E106" s="11">
        <v>45.52</v>
      </c>
      <c r="F106" s="11">
        <v>43.25</v>
      </c>
      <c r="G106" s="11">
        <v>45.52</v>
      </c>
      <c r="H106" s="13">
        <f t="shared" si="61"/>
        <v>5.3947673072470607E-2</v>
      </c>
      <c r="I106" s="14">
        <v>177114249</v>
      </c>
      <c r="J106" s="20">
        <v>2.5000000000000001E-2</v>
      </c>
      <c r="K106" s="14">
        <v>3943838</v>
      </c>
      <c r="L106" s="14">
        <f t="shared" ref="L106" si="89">G106*2868140263</f>
        <v>130557744771.76001</v>
      </c>
      <c r="M106" s="12">
        <f t="shared" ref="M106" si="90">G106/(11296540287/2868140263)</f>
        <v>11.557321220020363</v>
      </c>
      <c r="N106" s="15" t="s">
        <v>22</v>
      </c>
      <c r="O106" s="22"/>
      <c r="P106" s="22"/>
    </row>
    <row r="107" spans="1:16" ht="25.2" x14ac:dyDescent="0.25">
      <c r="A107" s="17">
        <v>46105</v>
      </c>
      <c r="B107" s="2" t="s">
        <v>14</v>
      </c>
      <c r="C107" s="11">
        <v>3</v>
      </c>
      <c r="D107" s="11">
        <v>87</v>
      </c>
      <c r="E107" s="11">
        <v>94.4</v>
      </c>
      <c r="F107" s="11">
        <v>87</v>
      </c>
      <c r="G107" s="11">
        <v>94</v>
      </c>
      <c r="H107" s="13">
        <f t="shared" si="61"/>
        <v>8.0459770114942528E-2</v>
      </c>
      <c r="I107" s="14">
        <v>382057438</v>
      </c>
      <c r="J107" s="20">
        <v>5.3999999999999999E-2</v>
      </c>
      <c r="K107" s="14">
        <v>4170773</v>
      </c>
      <c r="L107" s="14">
        <f t="shared" ref="L107" si="91">G107*1261875720</f>
        <v>118616317680</v>
      </c>
      <c r="M107" s="12">
        <f t="shared" ref="M107" si="92">G107/(9352763248/1261875720)</f>
        <v>12.682489071383793</v>
      </c>
      <c r="N107" s="15">
        <f t="shared" ref="N107" si="93">6/G107</f>
        <v>6.3829787234042548E-2</v>
      </c>
      <c r="O107" s="22"/>
      <c r="P107" s="22"/>
    </row>
    <row r="108" spans="1:16" ht="25.2" x14ac:dyDescent="0.25">
      <c r="A108" s="17">
        <v>46106</v>
      </c>
      <c r="B108" s="2" t="s">
        <v>13</v>
      </c>
      <c r="C108" s="11">
        <v>18</v>
      </c>
      <c r="D108" s="11">
        <v>45.52</v>
      </c>
      <c r="E108" s="11">
        <v>45.99</v>
      </c>
      <c r="F108" s="11">
        <v>43.5</v>
      </c>
      <c r="G108" s="11">
        <v>43.79</v>
      </c>
      <c r="H108" s="13">
        <f t="shared" si="61"/>
        <v>-3.8005272407732951E-2</v>
      </c>
      <c r="I108" s="14">
        <v>112518560</v>
      </c>
      <c r="J108" s="20">
        <v>1.7000000000000001E-2</v>
      </c>
      <c r="K108" s="14">
        <v>2543047</v>
      </c>
      <c r="L108" s="14">
        <f t="shared" ref="L108" si="94">G108*2868140263</f>
        <v>125595862116.77</v>
      </c>
      <c r="M108" s="12">
        <f t="shared" ref="M108" si="95">G108/(11296540287/2868140263)</f>
        <v>11.118082078749817</v>
      </c>
      <c r="N108" s="15" t="s">
        <v>22</v>
      </c>
      <c r="O108" s="22"/>
      <c r="P108" s="22"/>
    </row>
    <row r="109" spans="1:16" ht="25.2" x14ac:dyDescent="0.25">
      <c r="A109" s="17">
        <v>46106</v>
      </c>
      <c r="B109" s="2" t="s">
        <v>14</v>
      </c>
      <c r="C109" s="11">
        <v>10</v>
      </c>
      <c r="D109" s="11">
        <v>94</v>
      </c>
      <c r="E109" s="11">
        <v>95</v>
      </c>
      <c r="F109" s="11">
        <v>91.25</v>
      </c>
      <c r="G109" s="11">
        <v>92.5</v>
      </c>
      <c r="H109" s="13">
        <f t="shared" si="61"/>
        <v>-1.5957446808510637E-2</v>
      </c>
      <c r="I109" s="14">
        <v>149247463</v>
      </c>
      <c r="J109" s="19">
        <v>2.1999999999999999E-2</v>
      </c>
      <c r="K109" s="14">
        <v>1607902</v>
      </c>
      <c r="L109" s="14">
        <f t="shared" ref="L109" si="96">G109*1261875720</f>
        <v>116723504100</v>
      </c>
      <c r="M109" s="12">
        <f t="shared" ref="M109" si="97">G109/(9352763248/1261875720)</f>
        <v>12.48010892662767</v>
      </c>
      <c r="N109" s="15">
        <f t="shared" ref="N109" si="98">6/G109</f>
        <v>6.4864864864864868E-2</v>
      </c>
      <c r="O109" s="22"/>
      <c r="P109" s="22"/>
    </row>
    <row r="110" spans="1:16" ht="25.2" x14ac:dyDescent="0.25">
      <c r="A110" s="17">
        <v>46107</v>
      </c>
      <c r="B110" s="2" t="s">
        <v>13</v>
      </c>
      <c r="C110" s="11">
        <v>6</v>
      </c>
      <c r="D110" s="11">
        <v>43.79</v>
      </c>
      <c r="E110" s="11">
        <v>44.46</v>
      </c>
      <c r="F110" s="11">
        <v>41.9</v>
      </c>
      <c r="G110" s="11">
        <v>41.98</v>
      </c>
      <c r="H110" s="13">
        <f t="shared" si="61"/>
        <v>-4.1333637816853216E-2</v>
      </c>
      <c r="I110" s="14">
        <v>177422958</v>
      </c>
      <c r="J110" s="20">
        <v>3.3000000000000002E-2</v>
      </c>
      <c r="K110" s="14">
        <v>4123789</v>
      </c>
      <c r="L110" s="14">
        <f t="shared" ref="L110" si="99">G110*2868140263</f>
        <v>120404528240.73999</v>
      </c>
      <c r="M110" s="12">
        <f t="shared" ref="M110" si="100">G110/(11296540287/2868140263)</f>
        <v>10.658531300888725</v>
      </c>
      <c r="N110" s="15" t="s">
        <v>22</v>
      </c>
      <c r="O110" s="22"/>
      <c r="P110" s="22"/>
    </row>
    <row r="111" spans="1:16" ht="25.2" x14ac:dyDescent="0.25">
      <c r="A111" s="17">
        <v>46107</v>
      </c>
      <c r="B111" s="2" t="s">
        <v>14</v>
      </c>
      <c r="C111" s="11">
        <v>3</v>
      </c>
      <c r="D111" s="11">
        <v>92.5</v>
      </c>
      <c r="E111" s="11">
        <v>93.75</v>
      </c>
      <c r="F111" s="11">
        <v>88.88</v>
      </c>
      <c r="G111" s="11">
        <v>89</v>
      </c>
      <c r="H111" s="13">
        <f t="shared" si="61"/>
        <v>-3.783783783783784E-2</v>
      </c>
      <c r="I111" s="14">
        <v>262081969</v>
      </c>
      <c r="J111" s="20">
        <v>4.8000000000000001E-2</v>
      </c>
      <c r="K111" s="14">
        <v>2890786</v>
      </c>
      <c r="L111" s="14">
        <f t="shared" ref="L111" si="101">G111*1261875720</f>
        <v>112306939080</v>
      </c>
      <c r="M111" s="12">
        <f t="shared" ref="M111" si="102">G111/(9352763248/1261875720)</f>
        <v>12.007888588863379</v>
      </c>
      <c r="N111" s="15">
        <f t="shared" ref="N111" si="103">6/G111</f>
        <v>6.741573033707865E-2</v>
      </c>
      <c r="O111" s="22"/>
      <c r="P111" s="22"/>
    </row>
    <row r="112" spans="1:16" ht="25.2" x14ac:dyDescent="0.25">
      <c r="A112" s="17">
        <v>46110</v>
      </c>
      <c r="B112" s="2" t="s">
        <v>13</v>
      </c>
      <c r="C112" s="11">
        <v>2</v>
      </c>
      <c r="D112" s="11">
        <v>41.98</v>
      </c>
      <c r="E112" s="11">
        <v>42.69</v>
      </c>
      <c r="F112" s="11">
        <v>40.32</v>
      </c>
      <c r="G112" s="11">
        <v>40.35</v>
      </c>
      <c r="H112" s="13">
        <f t="shared" si="61"/>
        <v>-3.8828013339685462E-2</v>
      </c>
      <c r="I112" s="14">
        <v>333671383</v>
      </c>
      <c r="J112" s="20">
        <v>0.06</v>
      </c>
      <c r="K112" s="14">
        <v>8145697</v>
      </c>
      <c r="L112" s="14">
        <f t="shared" ref="L112" si="104">G112*2868140263</f>
        <v>115729459612.05</v>
      </c>
      <c r="M112" s="12">
        <f t="shared" ref="M112" si="105">G112/(11296540287/2868140263)</f>
        <v>10.244681705356362</v>
      </c>
      <c r="N112" s="15" t="s">
        <v>22</v>
      </c>
      <c r="O112" s="22"/>
      <c r="P112" s="22"/>
    </row>
    <row r="113" spans="1:16" ht="25.2" x14ac:dyDescent="0.25">
      <c r="A113" s="17">
        <v>46110</v>
      </c>
      <c r="B113" s="2" t="s">
        <v>14</v>
      </c>
      <c r="C113" s="11">
        <v>1</v>
      </c>
      <c r="D113" s="11">
        <v>89</v>
      </c>
      <c r="E113" s="11">
        <v>89.84</v>
      </c>
      <c r="F113" s="11">
        <v>83.6</v>
      </c>
      <c r="G113" s="11">
        <v>85.04</v>
      </c>
      <c r="H113" s="13">
        <f t="shared" si="61"/>
        <v>-4.4494382022471843E-2</v>
      </c>
      <c r="I113" s="14">
        <v>538954607</v>
      </c>
      <c r="J113" s="20">
        <v>9.8000000000000004E-2</v>
      </c>
      <c r="K113" s="14">
        <v>6284552</v>
      </c>
      <c r="L113" s="14">
        <f t="shared" ref="L113" si="106">G113*1261875720</f>
        <v>107309911228.8</v>
      </c>
      <c r="M113" s="12">
        <f t="shared" ref="M113" si="107">G113/(9352763248/1261875720)</f>
        <v>11.473605006707212</v>
      </c>
      <c r="N113" s="15">
        <f t="shared" ref="N113" si="108">6/G113</f>
        <v>7.0555032925682021E-2</v>
      </c>
      <c r="O113" s="22"/>
      <c r="P113" s="22"/>
    </row>
    <row r="114" spans="1:16" ht="25.2" x14ac:dyDescent="0.25">
      <c r="A114" s="17">
        <v>46111</v>
      </c>
      <c r="B114" s="2" t="s">
        <v>13</v>
      </c>
      <c r="C114" s="11">
        <v>3</v>
      </c>
      <c r="D114" s="11">
        <v>40.35</v>
      </c>
      <c r="E114" s="11">
        <v>40.799999999999997</v>
      </c>
      <c r="F114" s="11">
        <v>38.799999999999997</v>
      </c>
      <c r="G114" s="11">
        <v>39.9</v>
      </c>
      <c r="H114" s="13">
        <f t="shared" si="61"/>
        <v>-1.1152416356877394E-2</v>
      </c>
      <c r="I114" s="14">
        <v>292005708</v>
      </c>
      <c r="J114" s="20">
        <v>0.05</v>
      </c>
      <c r="K114" s="14">
        <v>7368509</v>
      </c>
      <c r="L114" s="14">
        <f t="shared" ref="L114" si="109">G114*2868140263</f>
        <v>114438796493.7</v>
      </c>
      <c r="M114" s="12">
        <f t="shared" ref="M114" si="110">G114/(11296540287/2868140263)</f>
        <v>10.130428749534543</v>
      </c>
      <c r="N114" s="15" t="s">
        <v>22</v>
      </c>
      <c r="O114" s="22"/>
      <c r="P114" s="22"/>
    </row>
    <row r="115" spans="1:16" ht="25.2" x14ac:dyDescent="0.25">
      <c r="A115" s="17">
        <v>46111</v>
      </c>
      <c r="B115" s="2" t="s">
        <v>14</v>
      </c>
      <c r="C115" s="11">
        <v>2</v>
      </c>
      <c r="D115" s="11">
        <v>85.04</v>
      </c>
      <c r="E115" s="11">
        <v>85.95</v>
      </c>
      <c r="F115" s="11">
        <v>79.8</v>
      </c>
      <c r="G115" s="11">
        <v>80.95</v>
      </c>
      <c r="H115" s="13">
        <f t="shared" si="61"/>
        <v>-4.8095014111006619E-2</v>
      </c>
      <c r="I115" s="14">
        <v>322190734</v>
      </c>
      <c r="J115" s="20">
        <v>5.5E-2</v>
      </c>
      <c r="K115" s="14">
        <v>3927601</v>
      </c>
      <c r="L115" s="14">
        <f t="shared" ref="L115" si="111">G115*1261875720</f>
        <v>102148839534</v>
      </c>
      <c r="M115" s="12">
        <f t="shared" ref="M115" si="112">G115/(9352763248/1261875720)</f>
        <v>10.921781812005513</v>
      </c>
      <c r="N115" s="15">
        <f t="shared" ref="N115" si="113">6/G115</f>
        <v>7.4119827053736875E-2</v>
      </c>
      <c r="O115" s="22"/>
      <c r="P115" s="22"/>
    </row>
    <row r="116" spans="1:16" ht="25.2" x14ac:dyDescent="0.25">
      <c r="A116" s="17">
        <v>46112</v>
      </c>
      <c r="B116" s="2" t="s">
        <v>13</v>
      </c>
      <c r="C116" s="11">
        <v>13</v>
      </c>
      <c r="D116" s="11">
        <v>39.9</v>
      </c>
      <c r="E116" s="11">
        <v>40.86</v>
      </c>
      <c r="F116" s="11">
        <v>39.020000000000003</v>
      </c>
      <c r="G116" s="11">
        <v>40.75</v>
      </c>
      <c r="H116" s="13">
        <f t="shared" si="61"/>
        <v>2.1303258145363446E-2</v>
      </c>
      <c r="I116" s="14">
        <v>116920132</v>
      </c>
      <c r="J116" s="20">
        <v>1.9E-2</v>
      </c>
      <c r="K116" s="14">
        <v>2910693</v>
      </c>
      <c r="L116" s="14">
        <f t="shared" ref="L116" si="114">G116*2868140263</f>
        <v>116876715717.25</v>
      </c>
      <c r="M116" s="12">
        <f t="shared" ref="M116" si="115">G116/(11296540287/2868140263)</f>
        <v>10.346239888309089</v>
      </c>
      <c r="N116" s="15" t="s">
        <v>22</v>
      </c>
      <c r="O116" s="22"/>
      <c r="P116" s="22"/>
    </row>
    <row r="117" spans="1:16" ht="25.2" x14ac:dyDescent="0.25">
      <c r="A117" s="17">
        <v>46112</v>
      </c>
      <c r="B117" s="2" t="s">
        <v>14</v>
      </c>
      <c r="C117" s="11">
        <v>3</v>
      </c>
      <c r="D117" s="11">
        <v>80.95</v>
      </c>
      <c r="E117" s="11">
        <v>83</v>
      </c>
      <c r="F117" s="11">
        <v>79.5</v>
      </c>
      <c r="G117" s="11">
        <v>81.7</v>
      </c>
      <c r="H117" s="13">
        <f t="shared" si="61"/>
        <v>9.2649783817171094E-3</v>
      </c>
      <c r="I117" s="14">
        <v>303184941</v>
      </c>
      <c r="J117" s="20">
        <v>4.8000000000000001E-2</v>
      </c>
      <c r="K117" s="14">
        <v>3721316</v>
      </c>
      <c r="L117" s="14">
        <f t="shared" ref="L117" si="116">G117*1261875720</f>
        <v>103095246324</v>
      </c>
      <c r="M117" s="12">
        <f t="shared" ref="M117" si="117">G117/(9352763248/1261875720)</f>
        <v>11.022971884383574</v>
      </c>
      <c r="N117" s="15">
        <f t="shared" ref="N117" si="118">6/G117</f>
        <v>7.3439412484700123E-2</v>
      </c>
      <c r="O117" s="22"/>
      <c r="P117" s="22"/>
    </row>
    <row r="118" spans="1:16" ht="25.2" x14ac:dyDescent="0.25">
      <c r="A118" s="17">
        <v>46113</v>
      </c>
      <c r="B118" s="2" t="s">
        <v>13</v>
      </c>
      <c r="C118" s="11">
        <v>9</v>
      </c>
      <c r="D118" s="11">
        <v>40.75</v>
      </c>
      <c r="E118" s="11">
        <v>41.35</v>
      </c>
      <c r="F118" s="11">
        <v>40</v>
      </c>
      <c r="G118" s="11">
        <v>40.44</v>
      </c>
      <c r="H118" s="13">
        <f t="shared" si="61"/>
        <v>-7.6073619631902402E-3</v>
      </c>
      <c r="I118" s="14">
        <v>146042711</v>
      </c>
      <c r="J118" s="20">
        <v>2.5000000000000001E-2</v>
      </c>
      <c r="K118" s="14">
        <v>3605552</v>
      </c>
      <c r="L118" s="14">
        <f t="shared" ref="L118" si="119">G118*2868140263</f>
        <v>115987592235.71999</v>
      </c>
      <c r="M118" s="12">
        <f t="shared" ref="M118" si="120">G118/(11296540287/2868140263)</f>
        <v>10.267532296520725</v>
      </c>
      <c r="N118" s="15" t="s">
        <v>22</v>
      </c>
      <c r="O118" s="22"/>
      <c r="P118" s="22"/>
    </row>
    <row r="119" spans="1:16" ht="25.2" x14ac:dyDescent="0.25">
      <c r="A119" s="17">
        <v>46113</v>
      </c>
      <c r="B119" s="2" t="s">
        <v>14</v>
      </c>
      <c r="C119" s="11">
        <v>4</v>
      </c>
      <c r="D119" s="11">
        <v>81.7</v>
      </c>
      <c r="E119" s="11">
        <v>84.46</v>
      </c>
      <c r="F119" s="11">
        <v>80.75</v>
      </c>
      <c r="G119" s="11">
        <v>83.79</v>
      </c>
      <c r="H119" s="13">
        <f t="shared" si="61"/>
        <v>2.5581395348837251E-2</v>
      </c>
      <c r="I119" s="14">
        <v>247718744</v>
      </c>
      <c r="J119" s="20">
        <v>4.2000000000000003E-2</v>
      </c>
      <c r="K119" s="14">
        <v>2995001</v>
      </c>
      <c r="L119" s="14">
        <f t="shared" ref="L119" si="121">G119*1261875720</f>
        <v>105732566578.8</v>
      </c>
      <c r="M119" s="12">
        <f t="shared" ref="M119" si="122">G119/(9352763248/1261875720)</f>
        <v>11.304954886077109</v>
      </c>
      <c r="N119" s="15">
        <f t="shared" ref="N119" si="123">6/G119</f>
        <v>7.160759040458288E-2</v>
      </c>
      <c r="O119" s="22"/>
      <c r="P119" s="22"/>
    </row>
    <row r="120" spans="1:16" ht="25.2" x14ac:dyDescent="0.25">
      <c r="A120" s="17">
        <v>46114</v>
      </c>
      <c r="B120" s="2" t="s">
        <v>13</v>
      </c>
      <c r="C120" s="11">
        <v>26</v>
      </c>
      <c r="D120" s="11">
        <v>40.44</v>
      </c>
      <c r="E120" s="11">
        <v>41.08</v>
      </c>
      <c r="F120" s="11">
        <v>40.450000000000003</v>
      </c>
      <c r="G120" s="11">
        <v>40.6</v>
      </c>
      <c r="H120" s="13">
        <f t="shared" si="61"/>
        <v>3.9564787339268969E-3</v>
      </c>
      <c r="I120" s="14">
        <v>61011717</v>
      </c>
      <c r="J120" s="21">
        <v>0.01</v>
      </c>
      <c r="K120" s="14">
        <v>1498777</v>
      </c>
      <c r="L120" s="14">
        <f t="shared" ref="L120" si="124">G120*2868140263</f>
        <v>116446494677.8</v>
      </c>
      <c r="M120" s="12">
        <f t="shared" ref="M120" si="125">G120/(11296540287/2868140263)</f>
        <v>10.308155569701817</v>
      </c>
      <c r="N120" s="15" t="s">
        <v>22</v>
      </c>
      <c r="O120" s="22"/>
      <c r="P120" s="22"/>
    </row>
    <row r="121" spans="1:16" ht="25.2" x14ac:dyDescent="0.25">
      <c r="A121" s="17">
        <v>46114</v>
      </c>
      <c r="B121" s="2" t="s">
        <v>14</v>
      </c>
      <c r="C121" s="11">
        <v>6</v>
      </c>
      <c r="D121" s="11">
        <v>83.79</v>
      </c>
      <c r="E121" s="11">
        <v>84.25</v>
      </c>
      <c r="F121" s="11">
        <v>81.599999999999994</v>
      </c>
      <c r="G121" s="11">
        <v>82</v>
      </c>
      <c r="H121" s="13">
        <f t="shared" si="61"/>
        <v>-2.13629311373673E-2</v>
      </c>
      <c r="I121" s="14">
        <v>195817120</v>
      </c>
      <c r="J121" s="20">
        <v>3.4000000000000002E-2</v>
      </c>
      <c r="K121" s="14">
        <v>2360566</v>
      </c>
      <c r="L121" s="14">
        <f t="shared" ref="L121" si="126">G121*1261875720</f>
        <v>103473809040</v>
      </c>
      <c r="M121" s="12">
        <f t="shared" ref="M121" si="127">G121/(9352763248/1261875720)</f>
        <v>11.0634479133348</v>
      </c>
      <c r="N121" s="15">
        <f t="shared" ref="N121" si="128">6/G121</f>
        <v>7.3170731707317069E-2</v>
      </c>
      <c r="O121" s="22"/>
      <c r="P121" s="22"/>
    </row>
    <row r="122" spans="1:16" ht="25.2" x14ac:dyDescent="0.25">
      <c r="A122" s="17">
        <v>46117</v>
      </c>
      <c r="B122" s="2" t="s">
        <v>13</v>
      </c>
      <c r="C122" s="11">
        <v>20</v>
      </c>
      <c r="D122" s="11">
        <v>40.6</v>
      </c>
      <c r="E122" s="11">
        <v>41.79</v>
      </c>
      <c r="F122" s="11">
        <v>40.61</v>
      </c>
      <c r="G122" s="11">
        <v>41.5</v>
      </c>
      <c r="H122" s="13">
        <f t="shared" si="61"/>
        <v>2.2167487684729027E-2</v>
      </c>
      <c r="I122" s="14">
        <v>71892061</v>
      </c>
      <c r="J122" s="21">
        <v>1.2999999999999999E-2</v>
      </c>
      <c r="K122" s="14">
        <v>1742274</v>
      </c>
      <c r="L122" s="14">
        <f t="shared" ref="L122" si="129">G122*2868140263</f>
        <v>119027820914.5</v>
      </c>
      <c r="M122" s="12">
        <f t="shared" ref="M122" si="130">G122/(11296540287/2868140263)</f>
        <v>10.536661481345453</v>
      </c>
      <c r="N122" s="15" t="s">
        <v>22</v>
      </c>
      <c r="O122" s="22"/>
      <c r="P122" s="22"/>
    </row>
    <row r="123" spans="1:16" ht="25.2" x14ac:dyDescent="0.25">
      <c r="A123" s="17">
        <v>46117</v>
      </c>
      <c r="B123" s="2" t="s">
        <v>14</v>
      </c>
      <c r="C123" s="11">
        <v>5</v>
      </c>
      <c r="D123" s="11">
        <v>82</v>
      </c>
      <c r="E123" s="11">
        <v>82.1</v>
      </c>
      <c r="F123" s="11">
        <v>80.099999999999994</v>
      </c>
      <c r="G123" s="11">
        <v>81.27</v>
      </c>
      <c r="H123" s="13">
        <f t="shared" si="61"/>
        <v>-8.9024390243902917E-3</v>
      </c>
      <c r="I123" s="14">
        <v>197582685</v>
      </c>
      <c r="J123" s="20">
        <v>3.5000000000000003E-2</v>
      </c>
      <c r="K123" s="14">
        <v>2441555</v>
      </c>
      <c r="L123" s="14">
        <f t="shared" ref="L123" si="131">G123*1261875720</f>
        <v>102552639764.39999</v>
      </c>
      <c r="M123" s="12">
        <f t="shared" ref="M123" si="132">G123/(9352763248/1261875720)</f>
        <v>10.964956242886817</v>
      </c>
      <c r="N123" s="15">
        <f t="shared" ref="N123" si="133">6/G123</f>
        <v>7.3827980804724996E-2</v>
      </c>
      <c r="O123" s="22"/>
      <c r="P123" s="22"/>
    </row>
    <row r="124" spans="1:16" ht="25.2" x14ac:dyDescent="0.25">
      <c r="A124" s="17">
        <v>46118</v>
      </c>
      <c r="B124" s="2" t="s">
        <v>13</v>
      </c>
      <c r="C124" s="11">
        <v>15</v>
      </c>
      <c r="D124" s="11">
        <v>41.5</v>
      </c>
      <c r="E124" s="11">
        <v>42.58</v>
      </c>
      <c r="F124" s="11">
        <v>41.42</v>
      </c>
      <c r="G124" s="11">
        <v>42.14</v>
      </c>
      <c r="H124" s="13">
        <f t="shared" si="61"/>
        <v>1.5421686746987965E-2</v>
      </c>
      <c r="I124" s="14">
        <v>102335093</v>
      </c>
      <c r="J124" s="21">
        <f>I124/7568541116</f>
        <v>1.3521112118115103E-2</v>
      </c>
      <c r="K124" s="14">
        <v>2420580</v>
      </c>
      <c r="L124" s="14">
        <f t="shared" ref="L124" si="134">G124*2868140263</f>
        <v>120863430682.82001</v>
      </c>
      <c r="M124" s="12">
        <f t="shared" ref="M124" si="135">G124/(11296540287/2868140263)</f>
        <v>10.699154574069816</v>
      </c>
      <c r="N124" s="15" t="s">
        <v>22</v>
      </c>
      <c r="O124" s="22"/>
      <c r="P124" s="22"/>
    </row>
    <row r="125" spans="1:16" ht="25.2" x14ac:dyDescent="0.25">
      <c r="A125" s="17">
        <v>46118</v>
      </c>
      <c r="B125" s="2" t="s">
        <v>14</v>
      </c>
      <c r="C125" s="11">
        <v>7</v>
      </c>
      <c r="D125" s="11">
        <v>81.27</v>
      </c>
      <c r="E125" s="11">
        <v>84.3</v>
      </c>
      <c r="F125" s="11">
        <v>81</v>
      </c>
      <c r="G125" s="11">
        <v>82.6</v>
      </c>
      <c r="H125" s="13">
        <f t="shared" si="61"/>
        <v>1.6365202411714019E-2</v>
      </c>
      <c r="I125" s="14">
        <v>190692699</v>
      </c>
      <c r="J125" s="20">
        <v>2.7E-2</v>
      </c>
      <c r="K125" s="14">
        <v>2306211</v>
      </c>
      <c r="L125" s="14">
        <f t="shared" ref="L125" si="136">G125*1261875720</f>
        <v>104230934472</v>
      </c>
      <c r="M125" s="12">
        <f t="shared" ref="M125" si="137">G125/(9352763248/1261875720)</f>
        <v>11.144399971237249</v>
      </c>
      <c r="N125" s="15">
        <f t="shared" ref="N125" si="138">6/G125</f>
        <v>7.2639225181598072E-2</v>
      </c>
      <c r="O125" s="22"/>
      <c r="P125" s="22"/>
    </row>
    <row r="126" spans="1:16" ht="25.2" x14ac:dyDescent="0.25">
      <c r="A126" s="17">
        <v>46119</v>
      </c>
      <c r="B126" s="2" t="s">
        <v>13</v>
      </c>
      <c r="C126" s="11">
        <v>2</v>
      </c>
      <c r="D126" s="11">
        <v>42.14</v>
      </c>
      <c r="E126" s="11">
        <v>44.6</v>
      </c>
      <c r="F126" s="11">
        <v>42.5</v>
      </c>
      <c r="G126" s="11">
        <v>44</v>
      </c>
      <c r="H126" s="13">
        <f t="shared" si="61"/>
        <v>4.4138585666824853E-2</v>
      </c>
      <c r="I126" s="14">
        <v>436345047</v>
      </c>
      <c r="J126" s="20">
        <v>7.0999999999999994E-2</v>
      </c>
      <c r="K126" s="14">
        <v>9945039</v>
      </c>
      <c r="L126" s="14">
        <f t="shared" ref="L126" si="139">G126*2868140263</f>
        <v>126198171572</v>
      </c>
      <c r="M126" s="12">
        <f t="shared" ref="M126" si="140">G126/(11296540287/2868140263)</f>
        <v>11.171400124799998</v>
      </c>
      <c r="N126" s="15" t="s">
        <v>22</v>
      </c>
      <c r="O126" s="22"/>
      <c r="P126" s="22"/>
    </row>
    <row r="127" spans="1:16" ht="25.2" x14ac:dyDescent="0.25">
      <c r="A127" s="17">
        <v>46119</v>
      </c>
      <c r="B127" s="2" t="s">
        <v>14</v>
      </c>
      <c r="C127" s="11">
        <v>3</v>
      </c>
      <c r="D127" s="11">
        <v>82.6</v>
      </c>
      <c r="E127" s="11">
        <v>86</v>
      </c>
      <c r="F127" s="11">
        <v>82.5</v>
      </c>
      <c r="G127" s="11">
        <v>85.61</v>
      </c>
      <c r="H127" s="13">
        <f t="shared" si="61"/>
        <v>3.6440677966101759E-2</v>
      </c>
      <c r="I127" s="14">
        <v>271861649</v>
      </c>
      <c r="J127" s="20">
        <v>4.3999999999999997E-2</v>
      </c>
      <c r="K127" s="14">
        <v>3214883</v>
      </c>
      <c r="L127" s="14">
        <f t="shared" ref="L127" si="141">G127*1261875720</f>
        <v>108029180389.2</v>
      </c>
      <c r="M127" s="12">
        <f t="shared" ref="M127" si="142">G127/(9352763248/1261875720)</f>
        <v>11.550509461714539</v>
      </c>
      <c r="N127" s="15">
        <f t="shared" ref="N127" si="143">6/G127</f>
        <v>7.0085270412335005E-2</v>
      </c>
      <c r="O127" s="22"/>
      <c r="P127" s="22"/>
    </row>
    <row r="128" spans="1:16" ht="25.2" x14ac:dyDescent="0.25">
      <c r="A128" s="17">
        <v>46120</v>
      </c>
      <c r="B128" s="2" t="s">
        <v>13</v>
      </c>
      <c r="C128" s="11">
        <v>17</v>
      </c>
      <c r="D128" s="11">
        <v>44</v>
      </c>
      <c r="E128" s="11">
        <v>43.62</v>
      </c>
      <c r="F128" s="11">
        <v>40.6</v>
      </c>
      <c r="G128" s="11">
        <v>42.8</v>
      </c>
      <c r="H128" s="13">
        <f t="shared" si="61"/>
        <v>-2.7272727272727337E-2</v>
      </c>
      <c r="I128" s="14">
        <v>212100069</v>
      </c>
      <c r="J128" s="20">
        <v>0.02</v>
      </c>
      <c r="K128" s="14">
        <v>4997073</v>
      </c>
      <c r="L128" s="14">
        <f t="shared" ref="L128" si="144">G128*2868140263</f>
        <v>122756403256.39999</v>
      </c>
      <c r="M128" s="12">
        <f t="shared" ref="M128" si="145">G128/(11296540287/2868140263)</f>
        <v>10.866725575941816</v>
      </c>
      <c r="N128" s="15" t="s">
        <v>22</v>
      </c>
      <c r="O128" s="22"/>
      <c r="P128" s="22"/>
    </row>
    <row r="129" spans="1:16" ht="25.2" x14ac:dyDescent="0.25">
      <c r="A129" s="17">
        <v>46120</v>
      </c>
      <c r="B129" s="2" t="s">
        <v>14</v>
      </c>
      <c r="C129" s="11">
        <v>5</v>
      </c>
      <c r="D129" s="11">
        <v>85.61</v>
      </c>
      <c r="E129" s="11">
        <v>84.8</v>
      </c>
      <c r="F129" s="11">
        <v>80</v>
      </c>
      <c r="G129" s="11">
        <v>82.64</v>
      </c>
      <c r="H129" s="13">
        <f t="shared" si="61"/>
        <v>-3.4692208854105816E-2</v>
      </c>
      <c r="I129" s="14">
        <v>454156367</v>
      </c>
      <c r="J129" s="20">
        <v>4.2000000000000003E-2</v>
      </c>
      <c r="K129" s="14">
        <v>5571442</v>
      </c>
      <c r="L129" s="14">
        <f t="shared" ref="L129" si="146">G129*1261875720</f>
        <v>104281409500.8</v>
      </c>
      <c r="M129" s="12">
        <f t="shared" ref="M129" si="147">G129/(9352763248/1261875720)</f>
        <v>11.149796775097412</v>
      </c>
      <c r="N129" s="15">
        <f t="shared" ref="N129" si="148">6/G129</f>
        <v>7.2604065827686345E-2</v>
      </c>
      <c r="O129" s="22"/>
      <c r="P129" s="22"/>
    </row>
    <row r="130" spans="1:16" ht="25.2" x14ac:dyDescent="0.25">
      <c r="A130" s="17">
        <v>46121</v>
      </c>
      <c r="B130" s="2" t="s">
        <v>13</v>
      </c>
      <c r="C130" s="11">
        <v>6</v>
      </c>
      <c r="D130" s="11">
        <v>42.8</v>
      </c>
      <c r="E130" s="11">
        <v>43.93</v>
      </c>
      <c r="F130" s="11">
        <v>42.6</v>
      </c>
      <c r="G130" s="11">
        <v>43.5</v>
      </c>
      <c r="H130" s="13">
        <f t="shared" si="61"/>
        <v>1.6355140186915956E-2</v>
      </c>
      <c r="I130" s="14">
        <v>191590335</v>
      </c>
      <c r="J130" s="20">
        <v>2.7E-2</v>
      </c>
      <c r="K130" s="14">
        <v>4429204</v>
      </c>
      <c r="L130" s="14">
        <f t="shared" ref="L130" si="149">G130*2868140263</f>
        <v>124764101440.5</v>
      </c>
      <c r="M130" s="12">
        <f t="shared" ref="M130" si="150">G130/(11296540287/2868140263)</f>
        <v>11.044452396109088</v>
      </c>
      <c r="N130" s="15" t="s">
        <v>22</v>
      </c>
      <c r="O130" s="22"/>
      <c r="P130" s="22"/>
    </row>
    <row r="131" spans="1:16" ht="25.2" x14ac:dyDescent="0.25">
      <c r="A131" s="17">
        <v>46121</v>
      </c>
      <c r="B131" s="2" t="s">
        <v>14</v>
      </c>
      <c r="C131" s="11">
        <v>10</v>
      </c>
      <c r="D131" s="11">
        <v>82.64</v>
      </c>
      <c r="E131" s="11">
        <v>83.65</v>
      </c>
      <c r="F131" s="11">
        <v>82</v>
      </c>
      <c r="G131" s="11">
        <v>82.11</v>
      </c>
      <c r="H131" s="13">
        <f t="shared" si="61"/>
        <v>-6.4133591481123084E-3</v>
      </c>
      <c r="I131" s="14">
        <v>173251080</v>
      </c>
      <c r="J131" s="20">
        <v>2.4E-2</v>
      </c>
      <c r="K131" s="14">
        <v>2091830</v>
      </c>
      <c r="L131" s="14">
        <f t="shared" ref="L131" si="151">G131*1261875720</f>
        <v>103612615369.2</v>
      </c>
      <c r="M131" s="12">
        <f t="shared" ref="M131" si="152">G131/(9352763248/1261875720)</f>
        <v>11.078289123950247</v>
      </c>
      <c r="N131" s="15">
        <f t="shared" ref="N131" si="153">6/G131</f>
        <v>7.3072707343807095E-2</v>
      </c>
      <c r="O131" s="22"/>
      <c r="P131" s="22"/>
    </row>
    <row r="132" spans="1:16" ht="25.2" x14ac:dyDescent="0.25">
      <c r="A132" s="17">
        <v>46126</v>
      </c>
      <c r="B132" s="2" t="s">
        <v>13</v>
      </c>
      <c r="C132" s="11">
        <v>9</v>
      </c>
      <c r="D132" s="11">
        <v>43.5</v>
      </c>
      <c r="E132" s="11">
        <v>45.25</v>
      </c>
      <c r="F132" s="11">
        <v>44.01</v>
      </c>
      <c r="G132" s="11">
        <v>44.8</v>
      </c>
      <c r="H132" s="13">
        <f t="shared" si="61"/>
        <v>2.9885057471264301E-2</v>
      </c>
      <c r="I132" s="14">
        <v>227026126</v>
      </c>
      <c r="J132" s="21">
        <v>2.5999999999999999E-2</v>
      </c>
      <c r="K132" s="14">
        <v>5073790</v>
      </c>
      <c r="L132" s="14">
        <f t="shared" ref="L132" si="154">G132*2868140263</f>
        <v>128492683782.39999</v>
      </c>
      <c r="M132" s="12">
        <f t="shared" ref="M132" si="155">G132/(11296540287/2868140263)</f>
        <v>11.374516490705451</v>
      </c>
      <c r="N132" s="15" t="s">
        <v>22</v>
      </c>
      <c r="O132" s="22"/>
      <c r="P132" s="22"/>
    </row>
    <row r="133" spans="1:16" ht="25.2" x14ac:dyDescent="0.25">
      <c r="A133" s="17">
        <v>46126</v>
      </c>
      <c r="B133" s="2" t="s">
        <v>14</v>
      </c>
      <c r="C133" s="11">
        <v>14</v>
      </c>
      <c r="D133" s="11">
        <v>82.11</v>
      </c>
      <c r="E133" s="11">
        <v>83.9</v>
      </c>
      <c r="F133" s="11">
        <v>82.52</v>
      </c>
      <c r="G133" s="11">
        <v>83.8</v>
      </c>
      <c r="H133" s="13">
        <f t="shared" si="61"/>
        <v>2.0582145901838968E-2</v>
      </c>
      <c r="I133" s="14">
        <v>153778121</v>
      </c>
      <c r="J133" s="21">
        <v>1.7999999999999999E-2</v>
      </c>
      <c r="K133" s="14">
        <v>1842312</v>
      </c>
      <c r="L133" s="14">
        <f t="shared" ref="L133" si="156">G133*1261875720</f>
        <v>105745185336</v>
      </c>
      <c r="M133" s="12">
        <f t="shared" ref="M133" si="157">G133/(9352763248/1261875720)</f>
        <v>11.306304087042149</v>
      </c>
      <c r="N133" s="15">
        <f t="shared" ref="N133" si="158">6/G133</f>
        <v>7.1599045346062054E-2</v>
      </c>
      <c r="O133" s="22"/>
      <c r="P133" s="22"/>
    </row>
    <row r="134" spans="1:16" ht="25.2" x14ac:dyDescent="0.25">
      <c r="A134" s="17">
        <v>46127</v>
      </c>
      <c r="B134" s="2" t="s">
        <v>13</v>
      </c>
      <c r="C134" s="11">
        <v>22</v>
      </c>
      <c r="D134" s="11">
        <v>44.8</v>
      </c>
      <c r="E134" s="11">
        <v>45.05</v>
      </c>
      <c r="F134" s="11">
        <v>44.06</v>
      </c>
      <c r="G134" s="11">
        <v>44.32</v>
      </c>
      <c r="H134" s="13">
        <f t="shared" si="61"/>
        <v>-1.0714285714285645E-2</v>
      </c>
      <c r="I134" s="14">
        <v>91337620</v>
      </c>
      <c r="J134" s="21">
        <f>I134/9380326199</f>
        <v>9.737147521558168E-3</v>
      </c>
      <c r="K134" s="14">
        <v>2052614</v>
      </c>
      <c r="L134" s="14">
        <f t="shared" ref="L134" si="159">G134*2868140263</f>
        <v>127115976456.16</v>
      </c>
      <c r="M134" s="12">
        <f t="shared" ref="M134" si="160">G134/(11296540287/2868140263)</f>
        <v>11.25264667116218</v>
      </c>
      <c r="N134" s="15" t="s">
        <v>22</v>
      </c>
      <c r="O134" s="22"/>
      <c r="P134" s="22"/>
    </row>
    <row r="135" spans="1:16" ht="25.2" x14ac:dyDescent="0.25">
      <c r="A135" s="17">
        <v>46127</v>
      </c>
      <c r="B135" s="2" t="s">
        <v>14</v>
      </c>
      <c r="C135" s="11">
        <v>18</v>
      </c>
      <c r="D135" s="11">
        <v>83.8</v>
      </c>
      <c r="E135" s="11">
        <v>85.38</v>
      </c>
      <c r="F135" s="11">
        <v>83.8</v>
      </c>
      <c r="G135" s="11">
        <v>84.85</v>
      </c>
      <c r="H135" s="13">
        <f t="shared" si="61"/>
        <v>1.2529832935560826E-2</v>
      </c>
      <c r="I135" s="14">
        <v>117768327</v>
      </c>
      <c r="J135" s="21">
        <f>I135/9380326199</f>
        <v>1.2554822135349069E-2</v>
      </c>
      <c r="K135" s="14">
        <v>1393439</v>
      </c>
      <c r="L135" s="14">
        <f t="shared" ref="L135" si="161">G135*1261875720</f>
        <v>107070154842</v>
      </c>
      <c r="M135" s="12">
        <f t="shared" ref="M135" si="162">G135/(9352763248/1261875720)</f>
        <v>11.447970188371434</v>
      </c>
      <c r="N135" s="15">
        <f t="shared" ref="N135" si="163">6/G135</f>
        <v>7.0713022981732473E-2</v>
      </c>
      <c r="O135" s="22"/>
      <c r="P135" s="22"/>
    </row>
    <row r="136" spans="1:16" ht="25.2" x14ac:dyDescent="0.25">
      <c r="A136" s="17">
        <v>46128</v>
      </c>
      <c r="B136" s="2" t="s">
        <v>13</v>
      </c>
      <c r="C136" s="11">
        <v>10</v>
      </c>
      <c r="D136" s="11">
        <v>44.32</v>
      </c>
      <c r="E136" s="11">
        <v>45.22</v>
      </c>
      <c r="F136" s="11">
        <v>43.02</v>
      </c>
      <c r="G136" s="11">
        <v>44</v>
      </c>
      <c r="H136" s="13">
        <f t="shared" si="61"/>
        <v>-7.2202166064982013E-3</v>
      </c>
      <c r="I136" s="14">
        <v>240536066</v>
      </c>
      <c r="J136" s="21">
        <v>2.1000000000000001E-2</v>
      </c>
      <c r="K136" s="14">
        <v>5401160</v>
      </c>
      <c r="L136" s="14">
        <f t="shared" ref="L136" si="164">G136*2868140263</f>
        <v>126198171572</v>
      </c>
      <c r="M136" s="12">
        <f t="shared" ref="M136" si="165">G136/(11296540287/2868140263)</f>
        <v>11.171400124799998</v>
      </c>
      <c r="N136" s="15" t="s">
        <v>22</v>
      </c>
      <c r="O136" s="22"/>
      <c r="P136" s="22"/>
    </row>
    <row r="137" spans="1:16" ht="25.2" x14ac:dyDescent="0.25">
      <c r="A137" s="17">
        <v>46128</v>
      </c>
      <c r="B137" s="2" t="s">
        <v>14</v>
      </c>
      <c r="C137" s="11">
        <v>19</v>
      </c>
      <c r="D137" s="11">
        <v>84.85</v>
      </c>
      <c r="E137" s="11">
        <v>85.3</v>
      </c>
      <c r="F137" s="11">
        <v>82.9</v>
      </c>
      <c r="G137" s="11">
        <v>83.94</v>
      </c>
      <c r="H137" s="13">
        <f t="shared" si="61"/>
        <v>-1.0724808485562719E-2</v>
      </c>
      <c r="I137" s="14">
        <v>153621788</v>
      </c>
      <c r="J137" s="21">
        <v>1.2999999999999999E-2</v>
      </c>
      <c r="K137" s="14">
        <v>1831513</v>
      </c>
      <c r="L137" s="14">
        <f t="shared" ref="L137" si="166">G137*1261875720</f>
        <v>105921847936.8</v>
      </c>
      <c r="M137" s="12">
        <f t="shared" ref="M137" si="167">G137/(9352763248/1261875720)</f>
        <v>11.32519290055272</v>
      </c>
      <c r="N137" s="15">
        <f t="shared" ref="N137" si="168">6/G137</f>
        <v>7.147962830593281E-2</v>
      </c>
      <c r="O137" s="22"/>
      <c r="P137" s="22"/>
    </row>
    <row r="138" spans="1:16" ht="25.2" x14ac:dyDescent="0.25">
      <c r="A138" s="17">
        <v>46131</v>
      </c>
      <c r="B138" s="2" t="s">
        <v>13</v>
      </c>
      <c r="C138" s="11">
        <v>9</v>
      </c>
      <c r="D138" s="11">
        <v>44</v>
      </c>
      <c r="E138" s="11">
        <v>44.23</v>
      </c>
      <c r="F138" s="11">
        <v>43.3</v>
      </c>
      <c r="G138" s="11">
        <v>43.95</v>
      </c>
      <c r="H138" s="13">
        <f t="shared" si="61"/>
        <v>-1.1363636363635717E-3</v>
      </c>
      <c r="I138" s="14">
        <v>272235986</v>
      </c>
      <c r="J138" s="21">
        <v>2.8000000000000001E-2</v>
      </c>
      <c r="K138" s="14">
        <v>6205981</v>
      </c>
      <c r="L138" s="14">
        <f t="shared" ref="L138" si="169">G138*2868140263</f>
        <v>126054764558.85001</v>
      </c>
      <c r="M138" s="12">
        <f t="shared" ref="M138" si="170">G138/(11296540287/2868140263)</f>
        <v>11.158705351930909</v>
      </c>
      <c r="N138" s="15" t="s">
        <v>22</v>
      </c>
      <c r="O138" s="22"/>
      <c r="P138" s="22"/>
    </row>
    <row r="139" spans="1:16" ht="25.2" x14ac:dyDescent="0.25">
      <c r="A139" s="17">
        <v>46131</v>
      </c>
      <c r="B139" s="2" t="s">
        <v>14</v>
      </c>
      <c r="C139" s="11">
        <v>7</v>
      </c>
      <c r="D139" s="11">
        <v>83.94</v>
      </c>
      <c r="E139" s="11">
        <v>86.39</v>
      </c>
      <c r="F139" s="11">
        <v>83.04</v>
      </c>
      <c r="G139" s="11">
        <v>85.56</v>
      </c>
      <c r="H139" s="13">
        <f t="shared" si="61"/>
        <v>1.9299499642601914E-2</v>
      </c>
      <c r="I139" s="14">
        <v>281209126</v>
      </c>
      <c r="J139" s="21">
        <v>2.9000000000000001E-2</v>
      </c>
      <c r="K139" s="14">
        <v>3321018</v>
      </c>
      <c r="L139" s="14">
        <f t="shared" ref="L139" si="171">G139*1261875720</f>
        <v>107966086603.2</v>
      </c>
      <c r="M139" s="12">
        <f t="shared" ref="M139" si="172">G139/(9352763248/1261875720)</f>
        <v>11.543763456889334</v>
      </c>
      <c r="N139" s="15">
        <f t="shared" ref="N139" si="173">6/G139</f>
        <v>7.0126227208976155E-2</v>
      </c>
      <c r="O139" s="22"/>
      <c r="P139" s="22"/>
    </row>
    <row r="140" spans="1:16" ht="25.2" x14ac:dyDescent="0.25">
      <c r="A140" s="17">
        <v>46132</v>
      </c>
      <c r="B140" s="2" t="s">
        <v>13</v>
      </c>
      <c r="C140" s="11">
        <v>10</v>
      </c>
      <c r="D140" s="11">
        <v>43.95</v>
      </c>
      <c r="E140" s="11">
        <v>45</v>
      </c>
      <c r="F140" s="11">
        <v>43.8</v>
      </c>
      <c r="G140" s="11">
        <v>43.8</v>
      </c>
      <c r="H140" s="13">
        <f t="shared" si="61"/>
        <v>-3.4129692832765798E-3</v>
      </c>
      <c r="I140" s="14">
        <v>186177620</v>
      </c>
      <c r="J140" s="21">
        <v>2.3E-2</v>
      </c>
      <c r="K140" s="14">
        <v>4189634</v>
      </c>
      <c r="L140" s="14">
        <f t="shared" ref="L140" si="174">G140*2868140263</f>
        <v>125624543519.39999</v>
      </c>
      <c r="M140" s="12">
        <f t="shared" ref="M140" si="175">G140/(11296540287/2868140263)</f>
        <v>11.120621033323633</v>
      </c>
      <c r="N140" s="15" t="s">
        <v>22</v>
      </c>
      <c r="O140" s="23">
        <f>L140/16400290969</f>
        <v>7.6598972394365932</v>
      </c>
      <c r="P140" s="23"/>
    </row>
    <row r="141" spans="1:16" ht="25.2" x14ac:dyDescent="0.25">
      <c r="A141" s="17">
        <v>46132</v>
      </c>
      <c r="B141" s="2" t="s">
        <v>14</v>
      </c>
      <c r="C141" s="11">
        <v>26</v>
      </c>
      <c r="D141" s="11">
        <v>85.56</v>
      </c>
      <c r="E141" s="11">
        <v>85.54</v>
      </c>
      <c r="F141" s="11">
        <v>83.51</v>
      </c>
      <c r="G141" s="11">
        <v>85</v>
      </c>
      <c r="H141" s="13">
        <f t="shared" si="61"/>
        <v>-6.5451145395044675E-3</v>
      </c>
      <c r="I141" s="14">
        <v>83206644</v>
      </c>
      <c r="J141" s="21">
        <f>I141/8433204013</f>
        <v>9.8665517722249848E-3</v>
      </c>
      <c r="K141" s="14">
        <v>986007</v>
      </c>
      <c r="L141" s="14">
        <f t="shared" ref="L141" si="176">G141*1261875720</f>
        <v>107259436200</v>
      </c>
      <c r="M141" s="12">
        <f t="shared" ref="M141" si="177">G141/(9352763248/1261875720)</f>
        <v>11.468208202847048</v>
      </c>
      <c r="N141" s="15">
        <f t="shared" ref="N141" si="178">6/G141</f>
        <v>7.0588235294117646E-2</v>
      </c>
      <c r="O141" s="23" t="s">
        <v>22</v>
      </c>
      <c r="P141" s="23"/>
    </row>
    <row r="142" spans="1:16" ht="25.2" x14ac:dyDescent="0.25">
      <c r="A142" s="17">
        <v>46133</v>
      </c>
      <c r="B142" s="2" t="s">
        <v>13</v>
      </c>
      <c r="C142" s="11">
        <v>14</v>
      </c>
      <c r="D142" s="11">
        <v>43.8</v>
      </c>
      <c r="E142" s="11">
        <v>44.7</v>
      </c>
      <c r="F142" s="11">
        <v>43.55</v>
      </c>
      <c r="G142" s="11">
        <v>43.83</v>
      </c>
      <c r="H142" s="13">
        <f t="shared" si="61"/>
        <v>6.8493150684934109E-4</v>
      </c>
      <c r="I142" s="14">
        <v>201716059</v>
      </c>
      <c r="J142" s="20">
        <v>0.02</v>
      </c>
      <c r="K142" s="14">
        <v>4569324</v>
      </c>
      <c r="L142" s="14">
        <f t="shared" ref="L142" si="179">G142*2868140263</f>
        <v>125710587727.28999</v>
      </c>
      <c r="M142" s="12">
        <f t="shared" ref="M142" si="180">G142/(11296540287/2868140263)</f>
        <v>11.128237897045089</v>
      </c>
      <c r="N142" s="15" t="s">
        <v>22</v>
      </c>
      <c r="O142" s="23">
        <f>L142/16400290969</f>
        <v>7.6651437443951114</v>
      </c>
      <c r="P142" s="23"/>
    </row>
    <row r="143" spans="1:16" ht="25.2" x14ac:dyDescent="0.25">
      <c r="A143" s="17">
        <v>46133</v>
      </c>
      <c r="B143" s="2" t="s">
        <v>14</v>
      </c>
      <c r="C143" s="11">
        <v>11</v>
      </c>
      <c r="D143" s="11">
        <v>85</v>
      </c>
      <c r="E143" s="11">
        <v>90.95</v>
      </c>
      <c r="F143" s="11">
        <v>84.8</v>
      </c>
      <c r="G143" s="11">
        <v>88.55</v>
      </c>
      <c r="H143" s="13">
        <f t="shared" si="61"/>
        <v>4.1764705882352905E-2</v>
      </c>
      <c r="I143" s="14">
        <v>226047758</v>
      </c>
      <c r="J143" s="20">
        <v>2.3E-2</v>
      </c>
      <c r="K143" s="14">
        <v>2577687</v>
      </c>
      <c r="L143" s="14">
        <f t="shared" ref="L143" si="181">G143*1261875720</f>
        <v>111739095006</v>
      </c>
      <c r="M143" s="12">
        <f t="shared" ref="M143" si="182">G143/(9352763248/1261875720)</f>
        <v>11.947174545436541</v>
      </c>
      <c r="N143" s="15">
        <f t="shared" ref="N143" si="183">6/G143</f>
        <v>6.7758328627893841E-2</v>
      </c>
      <c r="O143" s="23" t="s">
        <v>22</v>
      </c>
      <c r="P143" s="23"/>
    </row>
    <row r="144" spans="1:16" ht="25.2" x14ac:dyDescent="0.25">
      <c r="A144" s="17">
        <v>46134</v>
      </c>
      <c r="B144" s="2" t="s">
        <v>13</v>
      </c>
      <c r="C144" s="11">
        <v>2</v>
      </c>
      <c r="D144" s="11">
        <v>43.83</v>
      </c>
      <c r="E144" s="11">
        <v>46.5</v>
      </c>
      <c r="F144" s="11">
        <v>44.03</v>
      </c>
      <c r="G144" s="11">
        <v>46.5</v>
      </c>
      <c r="H144" s="13">
        <f t="shared" si="61"/>
        <v>6.0917180013689294E-2</v>
      </c>
      <c r="I144" s="14">
        <v>555756764</v>
      </c>
      <c r="J144" s="20">
        <v>5.3999999999999999E-2</v>
      </c>
      <c r="K144" s="14">
        <v>12166157</v>
      </c>
      <c r="L144" s="14">
        <f t="shared" ref="L144" si="184">G144*2868140263</f>
        <v>133368522229.5</v>
      </c>
      <c r="M144" s="12">
        <f t="shared" ref="M144" si="185">G144/(11296540287/2868140263)</f>
        <v>11.806138768254543</v>
      </c>
      <c r="N144" s="15" t="s">
        <v>22</v>
      </c>
      <c r="O144" s="23">
        <f>L144/16400290969</f>
        <v>8.1320826857032333</v>
      </c>
      <c r="P144" s="23"/>
    </row>
    <row r="145" spans="1:16" ht="25.2" x14ac:dyDescent="0.25">
      <c r="A145" s="17">
        <v>46134</v>
      </c>
      <c r="B145" s="2" t="s">
        <v>14</v>
      </c>
      <c r="C145" s="11">
        <v>18</v>
      </c>
      <c r="D145" s="11">
        <v>88.55</v>
      </c>
      <c r="E145" s="11">
        <v>90.8</v>
      </c>
      <c r="F145" s="11">
        <v>86.55</v>
      </c>
      <c r="G145" s="11">
        <v>87</v>
      </c>
      <c r="H145" s="13">
        <f t="shared" si="61"/>
        <v>-1.7504234895539213E-2</v>
      </c>
      <c r="I145" s="14">
        <v>113465089</v>
      </c>
      <c r="J145" s="20">
        <v>1.0999999999999999E-2</v>
      </c>
      <c r="K145" s="14">
        <v>1278047</v>
      </c>
      <c r="L145" s="14">
        <f t="shared" ref="L145" si="186">G145*1261875720</f>
        <v>109783187640</v>
      </c>
      <c r="M145" s="12">
        <f t="shared" ref="M145" si="187">G145/(9352763248/1261875720)</f>
        <v>11.738048395855213</v>
      </c>
      <c r="N145" s="15">
        <f t="shared" ref="N145" si="188">6/G145</f>
        <v>6.8965517241379309E-2</v>
      </c>
      <c r="O145" s="23" t="s">
        <v>22</v>
      </c>
      <c r="P145" s="23"/>
    </row>
    <row r="146" spans="1:16" ht="25.2" x14ac:dyDescent="0.25">
      <c r="A146" s="17">
        <v>46135</v>
      </c>
      <c r="B146" s="2" t="s">
        <v>13</v>
      </c>
      <c r="C146" s="11">
        <v>4</v>
      </c>
      <c r="D146" s="11">
        <v>46.5</v>
      </c>
      <c r="E146" s="11">
        <v>48.66</v>
      </c>
      <c r="F146" s="11">
        <v>46.5</v>
      </c>
      <c r="G146" s="11">
        <v>46.5</v>
      </c>
      <c r="H146" s="13">
        <f t="shared" si="61"/>
        <v>0</v>
      </c>
      <c r="I146" s="14">
        <v>501387830</v>
      </c>
      <c r="J146" s="20">
        <v>4.5999999999999999E-2</v>
      </c>
      <c r="K146" s="14">
        <v>10547081</v>
      </c>
      <c r="L146" s="14">
        <f t="shared" ref="L146" si="189">G146*2868140263</f>
        <v>133368522229.5</v>
      </c>
      <c r="M146" s="12">
        <f t="shared" ref="M146" si="190">G146/(11296540287/2868140263)</f>
        <v>11.806138768254543</v>
      </c>
      <c r="N146" s="15" t="s">
        <v>22</v>
      </c>
      <c r="O146" s="23">
        <f t="shared" ref="O146" si="191">L146/16400290969</f>
        <v>8.1320826857032333</v>
      </c>
      <c r="P146" s="23"/>
    </row>
    <row r="147" spans="1:16" ht="25.2" x14ac:dyDescent="0.25">
      <c r="A147" s="17">
        <v>46135</v>
      </c>
      <c r="B147" s="2" t="s">
        <v>14</v>
      </c>
      <c r="C147" s="11">
        <v>17</v>
      </c>
      <c r="D147" s="11">
        <v>87</v>
      </c>
      <c r="E147" s="11">
        <v>89.4</v>
      </c>
      <c r="F147" s="11">
        <v>86.1</v>
      </c>
      <c r="G147" s="11">
        <v>86.12</v>
      </c>
      <c r="H147" s="13">
        <f t="shared" si="61"/>
        <v>-1.011494252873558E-2</v>
      </c>
      <c r="I147" s="14">
        <v>132991311</v>
      </c>
      <c r="J147" s="20">
        <v>1.2E-2</v>
      </c>
      <c r="K147" s="14">
        <v>1516915</v>
      </c>
      <c r="L147" s="14">
        <f t="shared" ref="L147" si="192">G147*1261875720</f>
        <v>108672737006.40001</v>
      </c>
      <c r="M147" s="12">
        <f t="shared" ref="M147" si="193">G147/(9352763248/1261875720)</f>
        <v>11.619318710931621</v>
      </c>
      <c r="N147" s="15">
        <f>2.3/G147</f>
        <v>2.6706920575940544E-2</v>
      </c>
      <c r="O147" s="23" t="s">
        <v>22</v>
      </c>
      <c r="P147" s="23"/>
    </row>
    <row r="148" spans="1:16" ht="25.2" x14ac:dyDescent="0.25">
      <c r="A148" s="17">
        <v>46138</v>
      </c>
      <c r="B148" s="2" t="s">
        <v>13</v>
      </c>
      <c r="C148" s="11">
        <v>10</v>
      </c>
      <c r="D148" s="11">
        <v>46.5</v>
      </c>
      <c r="E148" s="11">
        <v>48</v>
      </c>
      <c r="F148" s="11">
        <v>46.41</v>
      </c>
      <c r="G148" s="11">
        <v>47.1</v>
      </c>
      <c r="H148" s="13">
        <f t="shared" si="61"/>
        <v>1.2903225806451644E-2</v>
      </c>
      <c r="I148" s="14">
        <v>168172290</v>
      </c>
      <c r="J148" s="20">
        <v>2.1000000000000001E-2</v>
      </c>
      <c r="K148" s="14">
        <v>3559939</v>
      </c>
      <c r="L148" s="14">
        <f t="shared" ref="L148" si="194">G148*2868140263</f>
        <v>135089406387.3</v>
      </c>
      <c r="M148" s="12">
        <f t="shared" ref="M148" si="195">G148/(11296540287/2868140263)</f>
        <v>11.958476042683635</v>
      </c>
      <c r="N148" s="15" t="s">
        <v>22</v>
      </c>
      <c r="O148" s="23">
        <f t="shared" ref="O148" si="196">L148/16400290969</f>
        <v>8.2370127848735972</v>
      </c>
      <c r="P148" s="23"/>
    </row>
    <row r="149" spans="1:16" ht="25.2" x14ac:dyDescent="0.25">
      <c r="A149" s="17">
        <v>46138</v>
      </c>
      <c r="B149" s="2" t="s">
        <v>14</v>
      </c>
      <c r="C149" s="11">
        <v>6</v>
      </c>
      <c r="D149" s="11">
        <v>86.12</v>
      </c>
      <c r="E149" s="11">
        <v>90.2</v>
      </c>
      <c r="F149" s="11">
        <v>86.3</v>
      </c>
      <c r="G149" s="11">
        <v>88.82</v>
      </c>
      <c r="H149" s="13">
        <f t="shared" si="61"/>
        <v>3.1351602415234422E-2</v>
      </c>
      <c r="I149" s="14">
        <v>220920731</v>
      </c>
      <c r="J149" s="20">
        <v>2.7E-2</v>
      </c>
      <c r="K149" s="14">
        <v>2479357</v>
      </c>
      <c r="L149" s="14">
        <f t="shared" ref="L149" si="197">G149*1261875720</f>
        <v>112079801450.39999</v>
      </c>
      <c r="M149" s="12">
        <f t="shared" ref="M149" si="198">G149/(9352763248/1261875720)</f>
        <v>11.983602971492644</v>
      </c>
      <c r="N149" s="15">
        <f>2.3/G149</f>
        <v>2.5895068678225625E-2</v>
      </c>
      <c r="O149" s="23" t="s">
        <v>22</v>
      </c>
      <c r="P149" s="23"/>
    </row>
    <row r="150" spans="1:16" ht="25.2" x14ac:dyDescent="0.25">
      <c r="A150" s="17">
        <v>46139</v>
      </c>
      <c r="B150" s="2" t="s">
        <v>13</v>
      </c>
      <c r="C150" s="11">
        <v>16</v>
      </c>
      <c r="D150" s="11">
        <v>47.1</v>
      </c>
      <c r="E150" s="11">
        <v>47.5</v>
      </c>
      <c r="F150" s="11">
        <v>46.96</v>
      </c>
      <c r="G150" s="11">
        <v>47.5</v>
      </c>
      <c r="H150" s="13">
        <f t="shared" si="61"/>
        <v>8.4925690021231126E-3</v>
      </c>
      <c r="I150" s="14">
        <v>140641880</v>
      </c>
      <c r="J150" s="21">
        <v>1.9E-2</v>
      </c>
      <c r="K150" s="14">
        <v>2981329</v>
      </c>
      <c r="L150" s="14">
        <f t="shared" ref="L150" si="199">G150*2868140263</f>
        <v>136236662492.5</v>
      </c>
      <c r="M150" s="12">
        <f t="shared" ref="M150" si="200">G150/(11296540287/2868140263)</f>
        <v>12.060034225636361</v>
      </c>
      <c r="N150" s="15" t="s">
        <v>22</v>
      </c>
      <c r="O150" s="23">
        <f t="shared" ref="O150" si="201">L150/16400290969</f>
        <v>8.3069661843205065</v>
      </c>
      <c r="P150" s="23"/>
    </row>
    <row r="151" spans="1:16" ht="25.2" x14ac:dyDescent="0.25">
      <c r="A151" s="17">
        <v>46139</v>
      </c>
      <c r="B151" s="2" t="s">
        <v>14</v>
      </c>
      <c r="C151" s="11">
        <v>26</v>
      </c>
      <c r="D151" s="11">
        <v>88.82</v>
      </c>
      <c r="E151" s="11">
        <v>90</v>
      </c>
      <c r="F151" s="11">
        <v>88.05</v>
      </c>
      <c r="G151" s="11">
        <v>89.5</v>
      </c>
      <c r="H151" s="13">
        <f t="shared" si="61"/>
        <v>7.6559333483450448E-3</v>
      </c>
      <c r="I151" s="14">
        <v>76206455</v>
      </c>
      <c r="J151" s="21">
        <f>I151/8012569077</f>
        <v>9.5108640272131787E-3</v>
      </c>
      <c r="K151" s="14">
        <v>853548</v>
      </c>
      <c r="L151" s="14">
        <f t="shared" ref="L151" si="202">G151*1261875720</f>
        <v>112937876940</v>
      </c>
      <c r="M151" s="12">
        <f t="shared" ref="M151" si="203">G151/(9352763248/1261875720)</f>
        <v>12.07534863711542</v>
      </c>
      <c r="N151" s="15">
        <f>2.3/G151</f>
        <v>2.5698324022346366E-2</v>
      </c>
      <c r="O151" s="23" t="s">
        <v>22</v>
      </c>
      <c r="P151" s="23"/>
    </row>
    <row r="152" spans="1:16" ht="25.2" x14ac:dyDescent="0.25">
      <c r="A152" s="17">
        <v>46140</v>
      </c>
      <c r="B152" s="2" t="s">
        <v>13</v>
      </c>
      <c r="C152" s="11">
        <v>5</v>
      </c>
      <c r="D152" s="11">
        <v>47.5</v>
      </c>
      <c r="E152" s="11">
        <v>48.25</v>
      </c>
      <c r="F152" s="11">
        <v>47.52</v>
      </c>
      <c r="G152" s="11">
        <v>47.52</v>
      </c>
      <c r="H152" s="13">
        <f t="shared" si="61"/>
        <v>4.210526315790132E-4</v>
      </c>
      <c r="I152" s="14">
        <v>255172595</v>
      </c>
      <c r="J152" s="20">
        <v>3.2000000000000001E-2</v>
      </c>
      <c r="K152" s="14">
        <v>5322950</v>
      </c>
      <c r="L152" s="14">
        <f t="shared" ref="L152" si="204">G152*2868140263</f>
        <v>136294025297.76001</v>
      </c>
      <c r="M152" s="12">
        <f t="shared" ref="M152" si="205">G152/(11296540287/2868140263)</f>
        <v>12.065112134783998</v>
      </c>
      <c r="N152" s="15" t="s">
        <v>22</v>
      </c>
      <c r="O152" s="23">
        <f t="shared" ref="O152" si="206">L152/16400290969</f>
        <v>8.3104638542928537</v>
      </c>
      <c r="P152" s="23"/>
    </row>
    <row r="153" spans="1:16" ht="25.2" x14ac:dyDescent="0.25">
      <c r="A153" s="17">
        <v>46140</v>
      </c>
      <c r="B153" s="2" t="s">
        <v>14</v>
      </c>
      <c r="C153" s="11">
        <v>4</v>
      </c>
      <c r="D153" s="11">
        <v>89.5</v>
      </c>
      <c r="E153" s="11">
        <v>92</v>
      </c>
      <c r="F153" s="11">
        <v>89.51</v>
      </c>
      <c r="G153" s="11">
        <v>90.51</v>
      </c>
      <c r="H153" s="13">
        <f t="shared" si="61"/>
        <v>1.1284916201117375E-2</v>
      </c>
      <c r="I153" s="14">
        <v>264569760</v>
      </c>
      <c r="J153" s="20">
        <v>3.3000000000000002E-2</v>
      </c>
      <c r="K153" s="14">
        <v>2912443</v>
      </c>
      <c r="L153" s="14">
        <f t="shared" ref="L153" si="207">G153*1261875720</f>
        <v>114212371417.20001</v>
      </c>
      <c r="M153" s="12">
        <f t="shared" ref="M153" si="208">G153/(9352763248/1261875720)</f>
        <v>12.211617934584545</v>
      </c>
      <c r="N153" s="15">
        <f>2.3/G153</f>
        <v>2.5411556734062531E-2</v>
      </c>
      <c r="O153" s="23" t="s">
        <v>22</v>
      </c>
      <c r="P153" s="23"/>
    </row>
    <row r="154" spans="1:16" ht="25.2" x14ac:dyDescent="0.25">
      <c r="A154" s="17">
        <v>46141</v>
      </c>
      <c r="B154" s="2" t="s">
        <v>13</v>
      </c>
      <c r="C154" s="11">
        <v>16</v>
      </c>
      <c r="D154" s="11">
        <v>47.52</v>
      </c>
      <c r="E154" s="11">
        <v>48.12</v>
      </c>
      <c r="F154" s="11">
        <v>47.55</v>
      </c>
      <c r="G154" s="11">
        <v>47.8</v>
      </c>
      <c r="H154" s="13">
        <f t="shared" si="61"/>
        <v>5.8922558922557666E-3</v>
      </c>
      <c r="I154" s="14">
        <v>124174218</v>
      </c>
      <c r="J154" s="21">
        <v>1.4999999999999999E-2</v>
      </c>
      <c r="K154" s="14">
        <v>2592409</v>
      </c>
      <c r="L154" s="14">
        <f t="shared" ref="L154" si="209">G154*2868140263</f>
        <v>137097104571.39999</v>
      </c>
      <c r="M154" s="12">
        <f t="shared" ref="M154" si="210">G154/(11296540287/2868140263)</f>
        <v>12.136202862850906</v>
      </c>
      <c r="N154" s="15" t="s">
        <v>22</v>
      </c>
      <c r="O154" s="23">
        <f t="shared" ref="O154" si="211">L154/16400290969</f>
        <v>8.3594312339056884</v>
      </c>
      <c r="P154" s="23"/>
    </row>
    <row r="155" spans="1:16" ht="25.2" x14ac:dyDescent="0.25">
      <c r="A155" s="17">
        <v>46141</v>
      </c>
      <c r="B155" s="2" t="s">
        <v>14</v>
      </c>
      <c r="C155" s="11">
        <v>33</v>
      </c>
      <c r="D155" s="11">
        <v>90.51</v>
      </c>
      <c r="E155" s="11">
        <v>91.18</v>
      </c>
      <c r="F155" s="11">
        <v>89.12</v>
      </c>
      <c r="G155" s="11">
        <v>89.56</v>
      </c>
      <c r="H155" s="13">
        <f t="shared" si="61"/>
        <v>-1.0496077781460642E-2</v>
      </c>
      <c r="I155" s="14">
        <v>67420509</v>
      </c>
      <c r="J155" s="21">
        <f>I155/8807102993</f>
        <v>7.6552424847974067E-3</v>
      </c>
      <c r="K155" s="14">
        <v>748585</v>
      </c>
      <c r="L155" s="14">
        <f t="shared" ref="L155" si="212">G155*1261875720</f>
        <v>113013589483.2</v>
      </c>
      <c r="M155" s="12">
        <f t="shared" ref="M155" si="213">G155/(9352763248/1261875720)</f>
        <v>12.083443842905666</v>
      </c>
      <c r="N155" s="15">
        <f>2.3/G155</f>
        <v>2.5681107637338094E-2</v>
      </c>
      <c r="O155" s="23" t="s">
        <v>22</v>
      </c>
      <c r="P155" s="23"/>
    </row>
    <row r="156" spans="1:16" ht="25.2" x14ac:dyDescent="0.25">
      <c r="A156" s="17">
        <v>46142</v>
      </c>
      <c r="B156" s="2" t="s">
        <v>13</v>
      </c>
      <c r="C156" s="11">
        <v>4</v>
      </c>
      <c r="D156" s="11">
        <v>47.8</v>
      </c>
      <c r="E156" s="11">
        <v>50.5</v>
      </c>
      <c r="F156" s="11">
        <v>48.05</v>
      </c>
      <c r="G156" s="11">
        <v>50.49</v>
      </c>
      <c r="H156" s="13">
        <f t="shared" si="61"/>
        <v>5.6276150627615165E-2</v>
      </c>
      <c r="I156" s="14">
        <v>380422208</v>
      </c>
      <c r="J156" s="20">
        <v>3.7999999999999999E-2</v>
      </c>
      <c r="K156" s="14">
        <v>7667115</v>
      </c>
      <c r="L156" s="14">
        <f t="shared" ref="L156" si="214">G156*2868140263</f>
        <v>144812401878.87</v>
      </c>
      <c r="M156" s="12">
        <f t="shared" ref="M156" si="215">G156/(11296540287/2868140263)</f>
        <v>12.819181643207999</v>
      </c>
      <c r="N156" s="15" t="s">
        <v>22</v>
      </c>
      <c r="O156" s="23">
        <f t="shared" ref="O156" si="216">L156/16400290969</f>
        <v>8.8298678451861559</v>
      </c>
      <c r="P156" s="23"/>
    </row>
    <row r="157" spans="1:16" ht="25.2" x14ac:dyDescent="0.25">
      <c r="A157" s="17">
        <v>46142</v>
      </c>
      <c r="B157" s="2" t="s">
        <v>14</v>
      </c>
      <c r="C157" s="11">
        <v>12</v>
      </c>
      <c r="D157" s="11">
        <v>89.56</v>
      </c>
      <c r="E157" s="11">
        <v>91.77</v>
      </c>
      <c r="F157" s="11">
        <v>90.53</v>
      </c>
      <c r="G157" s="11">
        <v>90.75</v>
      </c>
      <c r="H157" s="13">
        <f t="shared" si="61"/>
        <v>1.3287181777579251E-2</v>
      </c>
      <c r="I157" s="14">
        <v>197442087</v>
      </c>
      <c r="J157" s="20">
        <v>0.02</v>
      </c>
      <c r="K157" s="14">
        <v>2168800</v>
      </c>
      <c r="L157" s="14">
        <f t="shared" ref="L157" si="217">G157*1261875720</f>
        <v>114515221590</v>
      </c>
      <c r="M157" s="12">
        <f t="shared" ref="M157" si="218">G157/(9352763248/1261875720)</f>
        <v>12.243998757745524</v>
      </c>
      <c r="N157" s="15">
        <f>2.3/G157</f>
        <v>2.5344352617079888E-2</v>
      </c>
      <c r="O157" s="23" t="s">
        <v>22</v>
      </c>
      <c r="P157" s="23"/>
    </row>
    <row r="158" spans="1:16" ht="25.2" x14ac:dyDescent="0.25">
      <c r="A158" s="17">
        <v>46145</v>
      </c>
      <c r="B158" s="2" t="s">
        <v>13</v>
      </c>
      <c r="C158" s="11">
        <v>10</v>
      </c>
      <c r="D158" s="11">
        <v>50.49</v>
      </c>
      <c r="E158" s="11">
        <v>52</v>
      </c>
      <c r="F158" s="11">
        <v>50.42</v>
      </c>
      <c r="G158" s="11">
        <v>50.5</v>
      </c>
      <c r="H158" s="13">
        <f t="shared" si="61"/>
        <v>1.9805902158839394E-4</v>
      </c>
      <c r="I158" s="14">
        <v>175476465</v>
      </c>
      <c r="J158" s="21">
        <v>1.7999999999999999E-2</v>
      </c>
      <c r="K158" s="14">
        <v>3430250</v>
      </c>
      <c r="L158" s="14">
        <f t="shared" ref="L158" si="219">G158*2868140263</f>
        <v>144841083281.5</v>
      </c>
      <c r="M158" s="12">
        <f t="shared" ref="M158" si="220">G158/(11296540287/2868140263)</f>
        <v>12.821720597781816</v>
      </c>
      <c r="N158" s="15" t="s">
        <v>22</v>
      </c>
      <c r="O158" s="23">
        <f t="shared" ref="O158" si="221">L158/16400290969</f>
        <v>8.8316166801723277</v>
      </c>
      <c r="P158" s="23"/>
    </row>
    <row r="159" spans="1:16" ht="25.2" x14ac:dyDescent="0.25">
      <c r="A159" s="17">
        <v>46145</v>
      </c>
      <c r="B159" s="2" t="s">
        <v>14</v>
      </c>
      <c r="C159" s="11">
        <v>33</v>
      </c>
      <c r="D159" s="11">
        <v>90.75</v>
      </c>
      <c r="E159" s="11">
        <v>92</v>
      </c>
      <c r="F159" s="11">
        <v>89.4</v>
      </c>
      <c r="G159" s="11">
        <v>89.49</v>
      </c>
      <c r="H159" s="13">
        <f t="shared" si="61"/>
        <v>-1.3884297520661214E-2</v>
      </c>
      <c r="I159" s="14">
        <v>85445724</v>
      </c>
      <c r="J159" s="21">
        <v>8.9999999999999993E-3</v>
      </c>
      <c r="K159" s="14">
        <v>940230</v>
      </c>
      <c r="L159" s="14">
        <f t="shared" ref="L159" si="222">G159*1261875720</f>
        <v>112925258182.79999</v>
      </c>
      <c r="M159" s="12">
        <f t="shared" ref="M159" si="223">G159/(9352763248/1261875720)</f>
        <v>12.073999436150379</v>
      </c>
      <c r="N159" s="15">
        <f>2.3/G159</f>
        <v>2.5701195664320036E-2</v>
      </c>
      <c r="O159" s="23" t="s">
        <v>22</v>
      </c>
      <c r="P159" s="23"/>
    </row>
    <row r="160" spans="1:16" ht="25.2" x14ac:dyDescent="0.25">
      <c r="A160" s="17">
        <v>46146</v>
      </c>
      <c r="B160" s="2" t="s">
        <v>13</v>
      </c>
      <c r="C160" s="11">
        <v>10</v>
      </c>
      <c r="D160" s="11">
        <v>50.5</v>
      </c>
      <c r="E160" s="11">
        <v>47.77</v>
      </c>
      <c r="F160" s="11">
        <v>45.4</v>
      </c>
      <c r="G160" s="11">
        <v>45.4</v>
      </c>
      <c r="H160" s="13">
        <f t="shared" si="61"/>
        <v>-0.10099009900990102</v>
      </c>
      <c r="I160" s="14">
        <v>212668890</v>
      </c>
      <c r="J160" s="21">
        <v>1.9E-2</v>
      </c>
      <c r="K160" s="14">
        <v>4574463</v>
      </c>
      <c r="L160" s="14">
        <f t="shared" ref="L160" si="224">G160*2868140263</f>
        <v>130213567940.2</v>
      </c>
      <c r="M160" s="12">
        <f t="shared" ref="M160" si="225">G160/(11296540287/2868140263)</f>
        <v>11.526853765134543</v>
      </c>
      <c r="N160" s="15" t="s">
        <v>22</v>
      </c>
      <c r="O160" s="23">
        <f t="shared" ref="O160" si="226">L160/16400290969</f>
        <v>7.939710837224232</v>
      </c>
      <c r="P160" s="23"/>
    </row>
    <row r="161" spans="1:16" ht="25.2" x14ac:dyDescent="0.25">
      <c r="A161" s="17">
        <v>46146</v>
      </c>
      <c r="B161" s="2" t="s">
        <v>14</v>
      </c>
      <c r="C161" s="11">
        <v>29</v>
      </c>
      <c r="D161" s="11">
        <v>89.49</v>
      </c>
      <c r="E161" s="11">
        <v>90.3</v>
      </c>
      <c r="F161" s="11">
        <v>87.01</v>
      </c>
      <c r="G161" s="11">
        <v>87.01</v>
      </c>
      <c r="H161" s="13">
        <f t="shared" si="61"/>
        <v>-2.7712593585875404E-2</v>
      </c>
      <c r="I161" s="14">
        <v>102590009</v>
      </c>
      <c r="J161" s="21">
        <f>I161/12023410770</f>
        <v>8.5325213421116441E-3</v>
      </c>
      <c r="K161" s="14">
        <v>1168513</v>
      </c>
      <c r="L161" s="14">
        <f t="shared" ref="L161" si="227">G161*1261875720</f>
        <v>109795806397.20001</v>
      </c>
      <c r="M161" s="12">
        <f t="shared" ref="M161" si="228">G161/(9352763248/1261875720)</f>
        <v>11.739397596820256</v>
      </c>
      <c r="N161" s="15">
        <f>2.3/G161</f>
        <v>2.6433743247902538E-2</v>
      </c>
      <c r="O161" s="23" t="s">
        <v>22</v>
      </c>
      <c r="P161" s="23"/>
    </row>
    <row r="162" spans="1:16" ht="25.2" x14ac:dyDescent="0.25">
      <c r="A162" s="17">
        <v>46147</v>
      </c>
      <c r="B162" s="2" t="s">
        <v>13</v>
      </c>
      <c r="C162" s="11">
        <v>5</v>
      </c>
      <c r="D162" s="11">
        <v>45.4</v>
      </c>
      <c r="E162" s="11">
        <v>45.85</v>
      </c>
      <c r="F162" s="11">
        <v>43.7</v>
      </c>
      <c r="G162" s="11">
        <v>44.25</v>
      </c>
      <c r="H162" s="13">
        <f t="shared" si="61"/>
        <v>-2.5330396475770893E-2</v>
      </c>
      <c r="I162" s="14">
        <v>245062083</v>
      </c>
      <c r="J162" s="20">
        <v>2.7E-2</v>
      </c>
      <c r="K162" s="14">
        <v>5510114</v>
      </c>
      <c r="L162" s="14">
        <f t="shared" ref="L162" si="229">G162*2868140263</f>
        <v>126915206637.75</v>
      </c>
      <c r="M162" s="12">
        <f t="shared" ref="M162" si="230">G162/(11296540287/2868140263)</f>
        <v>11.234873989145452</v>
      </c>
      <c r="N162" s="15" t="s">
        <v>22</v>
      </c>
      <c r="O162" s="23">
        <f t="shared" ref="O162" si="231">L162/16400290969</f>
        <v>7.738594813814367</v>
      </c>
      <c r="P162" s="23"/>
    </row>
    <row r="163" spans="1:16" ht="25.2" x14ac:dyDescent="0.25">
      <c r="A163" s="17">
        <v>46147</v>
      </c>
      <c r="B163" s="2" t="s">
        <v>14</v>
      </c>
      <c r="C163" s="11">
        <v>8</v>
      </c>
      <c r="D163" s="11">
        <v>87.01</v>
      </c>
      <c r="E163" s="11">
        <v>87.8</v>
      </c>
      <c r="F163" s="11">
        <v>78</v>
      </c>
      <c r="G163" s="11">
        <v>84.85</v>
      </c>
      <c r="H163" s="13">
        <f t="shared" si="61"/>
        <v>-2.4824732789334683E-2</v>
      </c>
      <c r="I163" s="14">
        <v>220596924</v>
      </c>
      <c r="J163" s="20">
        <v>2.5000000000000001E-2</v>
      </c>
      <c r="K163" s="14">
        <v>2617038</v>
      </c>
      <c r="L163" s="14">
        <f t="shared" ref="L163" si="232">G163*1261875720</f>
        <v>107070154842</v>
      </c>
      <c r="M163" s="12">
        <f t="shared" ref="M163" si="233">G163/(9352763248/1261875720)</f>
        <v>11.447970188371434</v>
      </c>
      <c r="N163" s="15">
        <f>2.3/G163</f>
        <v>2.7106658809664112E-2</v>
      </c>
      <c r="O163" s="23" t="s">
        <v>22</v>
      </c>
      <c r="P163" s="23"/>
    </row>
    <row r="164" spans="1:16" ht="25.2" x14ac:dyDescent="0.25">
      <c r="A164" s="17">
        <v>46148</v>
      </c>
      <c r="B164" s="2" t="s">
        <v>13</v>
      </c>
      <c r="C164" s="11">
        <v>22</v>
      </c>
      <c r="D164" s="11">
        <v>44.25</v>
      </c>
      <c r="E164" s="11">
        <v>44.75</v>
      </c>
      <c r="F164" s="11">
        <v>43</v>
      </c>
      <c r="G164" s="11">
        <v>43.5</v>
      </c>
      <c r="H164" s="13">
        <f t="shared" si="61"/>
        <v>-1.6949152542372881E-2</v>
      </c>
      <c r="I164" s="14">
        <v>144251358</v>
      </c>
      <c r="J164" s="20">
        <v>1.2E-2</v>
      </c>
      <c r="K164" s="14">
        <v>3306660</v>
      </c>
      <c r="L164" s="14">
        <f t="shared" ref="L164" si="234">G164*2868140263</f>
        <v>124764101440.5</v>
      </c>
      <c r="M164" s="12">
        <f t="shared" ref="M164" si="235">G164/(11296540287/2868140263)</f>
        <v>11.044452396109088</v>
      </c>
      <c r="N164" s="15" t="s">
        <v>22</v>
      </c>
      <c r="O164" s="23">
        <f t="shared" ref="O164" si="236">L164/16400290969</f>
        <v>7.6074321898514112</v>
      </c>
      <c r="P164" s="23"/>
    </row>
    <row r="165" spans="1:16" ht="25.2" x14ac:dyDescent="0.25">
      <c r="A165" s="17">
        <v>46148</v>
      </c>
      <c r="B165" s="2" t="s">
        <v>14</v>
      </c>
      <c r="C165" s="11">
        <v>21</v>
      </c>
      <c r="D165" s="11">
        <v>84.85</v>
      </c>
      <c r="E165" s="11">
        <v>85.7</v>
      </c>
      <c r="F165" s="11">
        <v>82.1</v>
      </c>
      <c r="G165" s="11">
        <v>83.41</v>
      </c>
      <c r="H165" s="13">
        <f t="shared" si="61"/>
        <v>-1.6971125515615765E-2</v>
      </c>
      <c r="I165" s="14">
        <v>144641530</v>
      </c>
      <c r="J165" s="20">
        <v>1.2E-2</v>
      </c>
      <c r="K165" s="14">
        <v>1728554</v>
      </c>
      <c r="L165" s="14">
        <f t="shared" ref="L165" si="237">G165*1261875720</f>
        <v>105253053805.2</v>
      </c>
      <c r="M165" s="12">
        <f t="shared" ref="M165" si="238">G165/(9352763248/1261875720)</f>
        <v>11.253685249405555</v>
      </c>
      <c r="N165" s="15">
        <f t="shared" ref="N165" si="239">2.3/G165</f>
        <v>2.7574631339167963E-2</v>
      </c>
      <c r="O165" s="23" t="s">
        <v>22</v>
      </c>
      <c r="P165" s="23"/>
    </row>
    <row r="166" spans="1:16" ht="25.2" x14ac:dyDescent="0.25">
      <c r="A166" s="17">
        <v>46152</v>
      </c>
      <c r="B166" s="2" t="s">
        <v>13</v>
      </c>
      <c r="C166" s="11">
        <v>29</v>
      </c>
      <c r="D166" s="11">
        <v>43.5</v>
      </c>
      <c r="E166" s="11">
        <v>44.16</v>
      </c>
      <c r="F166" s="11">
        <v>43.44</v>
      </c>
      <c r="G166" s="11">
        <v>43.77</v>
      </c>
      <c r="H166" s="13">
        <f t="shared" si="61"/>
        <v>6.2068965517242097E-3</v>
      </c>
      <c r="I166" s="14">
        <v>96218893</v>
      </c>
      <c r="J166" s="19">
        <f>I166/12294509135</f>
        <v>7.8261679212620304E-3</v>
      </c>
      <c r="K166" s="14">
        <v>2197084</v>
      </c>
      <c r="L166" s="14">
        <f t="shared" ref="L166" si="240">G166*2868140263</f>
        <v>125538499311.51001</v>
      </c>
      <c r="M166" s="12">
        <f t="shared" ref="M166" si="241">G166/(11296540287/2868140263)</f>
        <v>11.113004169602181</v>
      </c>
      <c r="N166" s="24">
        <f>3.9386289551/G166</f>
        <v>8.9984668839387702E-2</v>
      </c>
      <c r="O166" s="23">
        <f t="shared" ref="O166" si="242">L166/16400290969</f>
        <v>7.6546507344780759</v>
      </c>
      <c r="P166" s="23"/>
    </row>
    <row r="167" spans="1:16" ht="25.2" x14ac:dyDescent="0.25">
      <c r="A167" s="17">
        <v>46152</v>
      </c>
      <c r="B167" s="2" t="s">
        <v>14</v>
      </c>
      <c r="C167" s="16">
        <v>26</v>
      </c>
      <c r="D167" s="11">
        <v>83.41</v>
      </c>
      <c r="E167" s="11">
        <v>84</v>
      </c>
      <c r="F167" s="11">
        <v>83</v>
      </c>
      <c r="G167" s="11">
        <v>83.8</v>
      </c>
      <c r="H167" s="13">
        <f t="shared" si="61"/>
        <v>4.6756983575110969E-3</v>
      </c>
      <c r="I167" s="14">
        <v>111988370</v>
      </c>
      <c r="J167" s="19">
        <v>0.01</v>
      </c>
      <c r="K167" s="14">
        <v>1338459</v>
      </c>
      <c r="L167" s="14">
        <f t="shared" ref="L167" si="243">G167*1261875720</f>
        <v>105745185336</v>
      </c>
      <c r="M167" s="12">
        <f t="shared" ref="M167" si="244">G167/(9352763248/1261875720)</f>
        <v>11.306304087042149</v>
      </c>
      <c r="N167" s="15">
        <f t="shared" ref="N167" si="245">2.3/G167</f>
        <v>2.7446300715990451E-2</v>
      </c>
      <c r="O167" s="23" t="s">
        <v>22</v>
      </c>
      <c r="P167" s="23"/>
    </row>
    <row r="168" spans="1:16" ht="25.2" x14ac:dyDescent="0.25">
      <c r="A168" s="17">
        <v>46153</v>
      </c>
      <c r="B168" s="2" t="s">
        <v>13</v>
      </c>
      <c r="C168" s="11">
        <v>19</v>
      </c>
      <c r="D168" s="11">
        <v>43.77</v>
      </c>
      <c r="E168" s="11">
        <v>45.3</v>
      </c>
      <c r="F168" s="11">
        <v>44.2</v>
      </c>
      <c r="G168" s="11">
        <v>45.15</v>
      </c>
      <c r="H168" s="13">
        <f t="shared" si="61"/>
        <v>3.1528444139821692E-2</v>
      </c>
      <c r="I168" s="14">
        <v>131364532</v>
      </c>
      <c r="J168" s="21">
        <f>I168/11321985479</f>
        <v>1.1602605589245342E-2</v>
      </c>
      <c r="K168" s="14">
        <v>2926111</v>
      </c>
      <c r="L168" s="14">
        <f t="shared" ref="L168" si="246">G168*2868140263</f>
        <v>129496532874.45</v>
      </c>
      <c r="M168" s="12">
        <f t="shared" ref="M168" si="247">G168/(11296540287/2868140263)</f>
        <v>11.463379900789089</v>
      </c>
      <c r="N168" s="24">
        <f>3.9386289551/G168</f>
        <v>8.7234306868217051E-2</v>
      </c>
      <c r="O168" s="23">
        <f t="shared" ref="O168" si="248">L168/16400290969</f>
        <v>7.8959899625699137</v>
      </c>
      <c r="P168" s="23"/>
    </row>
    <row r="169" spans="1:16" ht="25.2" x14ac:dyDescent="0.25">
      <c r="A169" s="17">
        <v>46153</v>
      </c>
      <c r="B169" s="2" t="s">
        <v>14</v>
      </c>
      <c r="C169" s="11">
        <v>24</v>
      </c>
      <c r="D169" s="11">
        <v>83.8</v>
      </c>
      <c r="E169" s="11">
        <v>86.86</v>
      </c>
      <c r="F169" s="11">
        <v>84.39</v>
      </c>
      <c r="G169" s="11">
        <v>86</v>
      </c>
      <c r="H169" s="13">
        <f t="shared" si="61"/>
        <v>2.6252983293556121E-2</v>
      </c>
      <c r="I169" s="14">
        <v>113635843</v>
      </c>
      <c r="J169" s="21">
        <v>1.0999999999999999E-2</v>
      </c>
      <c r="K169" s="14">
        <v>1322920</v>
      </c>
      <c r="L169" s="14">
        <f t="shared" ref="L169" si="249">G169*1261875720</f>
        <v>108521311920</v>
      </c>
      <c r="M169" s="12">
        <f t="shared" ref="M169" si="250">G169/(9352763248/1261875720)</f>
        <v>11.60312829935113</v>
      </c>
      <c r="N169" s="15">
        <f t="shared" ref="N169" si="251">2.3/G169</f>
        <v>2.6744186046511628E-2</v>
      </c>
      <c r="O169" s="23" t="s">
        <v>22</v>
      </c>
      <c r="P169" s="23"/>
    </row>
    <row r="170" spans="1:16" ht="25.2" x14ac:dyDescent="0.25">
      <c r="A170" s="17">
        <v>46154</v>
      </c>
      <c r="B170" s="2" t="s">
        <v>13</v>
      </c>
      <c r="C170" s="11">
        <v>23</v>
      </c>
      <c r="D170" s="11">
        <v>45.15</v>
      </c>
      <c r="E170" s="11">
        <v>46.6</v>
      </c>
      <c r="F170" s="11">
        <v>45.41</v>
      </c>
      <c r="G170" s="11">
        <v>45.7</v>
      </c>
      <c r="H170" s="13">
        <f t="shared" si="61"/>
        <v>1.2181616832779718E-2</v>
      </c>
      <c r="I170" s="14">
        <v>115113644</v>
      </c>
      <c r="J170" s="21">
        <f>I170/12105374625</f>
        <v>9.5093004195233657E-3</v>
      </c>
      <c r="K170" s="14">
        <v>2503967</v>
      </c>
      <c r="L170" s="14">
        <f t="shared" ref="L170" si="252">G170*2868140263</f>
        <v>131074010019.10001</v>
      </c>
      <c r="M170" s="12">
        <f t="shared" ref="M170" si="253">G170/(11296540287/2868140263)</f>
        <v>11.60302240234909</v>
      </c>
      <c r="N170" s="24">
        <f>3.9386289551/G170</f>
        <v>8.6184441030634565E-2</v>
      </c>
      <c r="O170" s="23">
        <f t="shared" ref="O170" si="254">L170/16400290969</f>
        <v>7.9921758868094148</v>
      </c>
      <c r="P170" s="23"/>
    </row>
    <row r="171" spans="1:16" ht="25.2" x14ac:dyDescent="0.25">
      <c r="A171" s="17">
        <v>46154</v>
      </c>
      <c r="B171" s="2" t="s">
        <v>14</v>
      </c>
      <c r="C171" s="11">
        <v>30</v>
      </c>
      <c r="D171" s="11">
        <v>86</v>
      </c>
      <c r="E171" s="11">
        <v>88.39</v>
      </c>
      <c r="F171" s="11">
        <v>86.5</v>
      </c>
      <c r="G171" s="11">
        <v>87.19</v>
      </c>
      <c r="H171" s="13">
        <f t="shared" si="61"/>
        <v>1.3837209302325555E-2</v>
      </c>
      <c r="I171" s="14">
        <v>101738195</v>
      </c>
      <c r="J171" s="21">
        <v>8.9999999999999993E-3</v>
      </c>
      <c r="K171" s="14">
        <v>1161036</v>
      </c>
      <c r="L171" s="14">
        <f t="shared" ref="L171" si="255">G171*1261875720</f>
        <v>110022944026.8</v>
      </c>
      <c r="M171" s="12">
        <f t="shared" ref="M171" si="256">G171/(9352763248/1261875720)</f>
        <v>11.763683214190989</v>
      </c>
      <c r="N171" s="15">
        <f t="shared" ref="N171" si="257">2.3/G171</f>
        <v>2.6379171923385708E-2</v>
      </c>
      <c r="O171" s="23" t="s">
        <v>22</v>
      </c>
      <c r="P171" s="23"/>
    </row>
    <row r="172" spans="1:16" ht="25.2" x14ac:dyDescent="0.25">
      <c r="A172" s="17">
        <v>46155</v>
      </c>
      <c r="B172" s="2" t="s">
        <v>13</v>
      </c>
      <c r="C172" s="11">
        <v>40</v>
      </c>
      <c r="D172" s="11">
        <v>45.7</v>
      </c>
      <c r="E172" s="11">
        <v>45.95</v>
      </c>
      <c r="F172" s="11">
        <v>44.72</v>
      </c>
      <c r="G172" s="11">
        <v>44.74</v>
      </c>
      <c r="H172" s="13">
        <f t="shared" si="61"/>
        <v>-2.1006564551422337E-2</v>
      </c>
      <c r="I172" s="14">
        <v>79783110</v>
      </c>
      <c r="J172" s="21">
        <v>7.0000000000000001E-3</v>
      </c>
      <c r="K172" s="14">
        <v>1767568</v>
      </c>
      <c r="L172" s="14">
        <f t="shared" ref="L172" si="258">G172*2868140263</f>
        <v>128320595366.62001</v>
      </c>
      <c r="M172" s="12">
        <f t="shared" ref="M172" si="259">G172/(11296540287/2868140263)</f>
        <v>11.359282763262543</v>
      </c>
      <c r="N172" s="24">
        <f>3.9386289551/G172</f>
        <v>8.8033727203844434E-2</v>
      </c>
      <c r="O172" s="23">
        <f t="shared" ref="O172" si="260">L172/16400290969</f>
        <v>7.8242877281368317</v>
      </c>
      <c r="P172" s="23"/>
    </row>
    <row r="173" spans="1:16" ht="25.2" x14ac:dyDescent="0.25">
      <c r="A173" s="17">
        <v>46155</v>
      </c>
      <c r="B173" s="2" t="s">
        <v>14</v>
      </c>
      <c r="C173" s="11">
        <v>52</v>
      </c>
      <c r="D173" s="11">
        <v>87.19</v>
      </c>
      <c r="E173" s="11">
        <v>87.96</v>
      </c>
      <c r="F173" s="11">
        <v>85.4</v>
      </c>
      <c r="G173" s="11">
        <v>85.6</v>
      </c>
      <c r="H173" s="13">
        <f t="shared" si="61"/>
        <v>-1.8236036242688422E-2</v>
      </c>
      <c r="I173" s="14">
        <v>55530812</v>
      </c>
      <c r="J173" s="21">
        <v>5.0000000000000001E-3</v>
      </c>
      <c r="K173" s="14">
        <v>641857</v>
      </c>
      <c r="L173" s="14">
        <f t="shared" ref="L173" si="261">G173*1261875720</f>
        <v>108016561632</v>
      </c>
      <c r="M173" s="12">
        <f t="shared" ref="M173" si="262">G173/(9352763248/1261875720)</f>
        <v>11.549160260749497</v>
      </c>
      <c r="N173" s="15">
        <f t="shared" ref="N173" si="263">2.3/G173</f>
        <v>2.6869158878504672E-2</v>
      </c>
      <c r="O173" s="23" t="s">
        <v>22</v>
      </c>
      <c r="P173" s="23"/>
    </row>
    <row r="174" spans="1:16" ht="25.2" x14ac:dyDescent="0.25">
      <c r="A174" s="17">
        <v>46156</v>
      </c>
      <c r="B174" s="2" t="s">
        <v>13</v>
      </c>
      <c r="C174" s="11">
        <v>56</v>
      </c>
      <c r="D174" s="11">
        <v>44.74</v>
      </c>
      <c r="E174" s="11">
        <v>45.39</v>
      </c>
      <c r="F174" s="11">
        <v>44.21</v>
      </c>
      <c r="G174" s="11">
        <v>44.46</v>
      </c>
      <c r="H174" s="13">
        <f t="shared" si="61"/>
        <v>-6.258381761287464E-3</v>
      </c>
      <c r="I174" s="14">
        <v>50669685</v>
      </c>
      <c r="J174" s="21">
        <v>5.0000000000000001E-3</v>
      </c>
      <c r="K174" s="14">
        <v>1134362</v>
      </c>
      <c r="L174" s="14">
        <f t="shared" ref="L174:L176" si="264">G174*2868140263</f>
        <v>127517516092.98</v>
      </c>
      <c r="M174" s="12">
        <f t="shared" ref="M174" si="265">G174/(11296540287/2868140263)</f>
        <v>11.288192035195635</v>
      </c>
      <c r="N174" s="24">
        <f>3.9386289551/G174</f>
        <v>8.8588145638776428E-2</v>
      </c>
      <c r="O174" s="23">
        <f t="shared" ref="O174" si="266">L174/16400290969</f>
        <v>7.7753203485239943</v>
      </c>
      <c r="P174" s="23"/>
    </row>
    <row r="175" spans="1:16" ht="25.2" x14ac:dyDescent="0.25">
      <c r="A175" s="17">
        <v>46156</v>
      </c>
      <c r="B175" s="2" t="s">
        <v>14</v>
      </c>
      <c r="C175" s="11">
        <v>54</v>
      </c>
      <c r="D175" s="11">
        <v>85.6</v>
      </c>
      <c r="E175" s="11">
        <v>86.97</v>
      </c>
      <c r="F175" s="11">
        <v>84.81</v>
      </c>
      <c r="G175" s="11">
        <v>85.8</v>
      </c>
      <c r="H175" s="13">
        <f t="shared" si="61"/>
        <v>2.3364485981308743E-3</v>
      </c>
      <c r="I175" s="14">
        <v>51968426</v>
      </c>
      <c r="J175" s="21">
        <v>5.0000000000000001E-3</v>
      </c>
      <c r="K175" s="14">
        <v>607533</v>
      </c>
      <c r="L175" s="14">
        <f t="shared" ref="L175:L177" si="267">G175*1261875720</f>
        <v>108268936776</v>
      </c>
      <c r="M175" s="12">
        <f t="shared" ref="M175" si="268">G175/(9352763248/1261875720)</f>
        <v>11.576144280050313</v>
      </c>
      <c r="N175" s="15">
        <f t="shared" ref="N175" si="269">2.3/G175</f>
        <v>2.6806526806526804E-2</v>
      </c>
      <c r="O175" s="23" t="s">
        <v>22</v>
      </c>
      <c r="P175" s="23"/>
    </row>
    <row r="176" spans="1:16" ht="25.2" x14ac:dyDescent="0.25">
      <c r="A176" s="17">
        <v>46159</v>
      </c>
      <c r="B176" s="2" t="s">
        <v>13</v>
      </c>
      <c r="C176" s="11">
        <v>15</v>
      </c>
      <c r="D176" s="11">
        <v>44.46</v>
      </c>
      <c r="E176" s="11">
        <v>46.09</v>
      </c>
      <c r="F176" s="11">
        <v>44.7</v>
      </c>
      <c r="G176" s="11">
        <v>46</v>
      </c>
      <c r="H176" s="13">
        <f t="shared" si="61"/>
        <v>3.4637876743139881E-2</v>
      </c>
      <c r="I176" s="14">
        <v>175862700</v>
      </c>
      <c r="J176" s="20">
        <v>1.9E-2</v>
      </c>
      <c r="K176" s="14">
        <v>3850237</v>
      </c>
      <c r="L176" s="14">
        <f t="shared" si="264"/>
        <v>131934452098</v>
      </c>
      <c r="M176" s="12">
        <f t="shared" ref="M176" si="270">G176/(11296540287/2868140263)</f>
        <v>11.679191039563634</v>
      </c>
      <c r="N176" s="24">
        <f>3.9386289551/G176</f>
        <v>8.5622368589130429E-2</v>
      </c>
      <c r="O176" s="23">
        <f t="shared" ref="O176" si="271">L176/16400290969</f>
        <v>8.0446409363945968</v>
      </c>
      <c r="P176" s="23"/>
    </row>
    <row r="177" spans="1:16" ht="25.2" x14ac:dyDescent="0.25">
      <c r="A177" s="17">
        <v>46159</v>
      </c>
      <c r="B177" s="2" t="s">
        <v>14</v>
      </c>
      <c r="C177" s="11">
        <v>16</v>
      </c>
      <c r="D177" s="11">
        <v>85.8</v>
      </c>
      <c r="E177" s="11">
        <v>88.7</v>
      </c>
      <c r="F177" s="11">
        <v>86.25</v>
      </c>
      <c r="G177" s="11">
        <v>88.2</v>
      </c>
      <c r="H177" s="13">
        <f t="shared" si="61"/>
        <v>2.7972027972028038E-2</v>
      </c>
      <c r="I177" s="14">
        <v>175704467</v>
      </c>
      <c r="J177" s="20">
        <v>1.7999999999999999E-2</v>
      </c>
      <c r="K177" s="14">
        <v>2000111</v>
      </c>
      <c r="L177" s="14">
        <f t="shared" si="267"/>
        <v>111297438504</v>
      </c>
      <c r="M177" s="12">
        <f t="shared" ref="M177" si="272">G177/(9352763248/1261875720)</f>
        <v>11.899952511660114</v>
      </c>
      <c r="N177" s="15">
        <f t="shared" ref="N177" si="273">2.3/G177</f>
        <v>2.6077097505668931E-2</v>
      </c>
      <c r="O177" s="23" t="s">
        <v>22</v>
      </c>
      <c r="P177" s="23"/>
    </row>
    <row r="178" spans="1:16" ht="25.2" x14ac:dyDescent="0.25">
      <c r="A178" s="17">
        <v>46160</v>
      </c>
      <c r="B178" s="2" t="s">
        <v>13</v>
      </c>
      <c r="C178" s="11">
        <v>12</v>
      </c>
      <c r="D178" s="11">
        <v>46</v>
      </c>
      <c r="E178" s="11">
        <v>46.6</v>
      </c>
      <c r="F178" s="11">
        <v>45.26</v>
      </c>
      <c r="G178" s="11">
        <v>45.26</v>
      </c>
      <c r="H178" s="13">
        <f t="shared" si="61"/>
        <v>-1.6086956521739172E-2</v>
      </c>
      <c r="I178" s="14">
        <v>176150622</v>
      </c>
      <c r="J178" s="20">
        <v>1.9E-2</v>
      </c>
      <c r="K178" s="14">
        <v>3833177</v>
      </c>
      <c r="L178" s="14">
        <f t="shared" ref="L178" si="274">G178*2868140263</f>
        <v>129812028303.37999</v>
      </c>
      <c r="M178" s="12">
        <f t="shared" ref="M178" si="275">G178/(11296540287/2868140263)</f>
        <v>11.491308401101088</v>
      </c>
      <c r="N178" s="24">
        <f>3.9386289551/G178</f>
        <v>8.7022292423773753E-2</v>
      </c>
      <c r="O178" s="23">
        <f t="shared" ref="O178" si="276">L178/16400290969</f>
        <v>7.9152271474178129</v>
      </c>
      <c r="P178" s="23"/>
    </row>
    <row r="179" spans="1:16" ht="25.2" x14ac:dyDescent="0.25">
      <c r="A179" s="17">
        <v>46160</v>
      </c>
      <c r="B179" s="2" t="s">
        <v>14</v>
      </c>
      <c r="C179" s="11">
        <v>1</v>
      </c>
      <c r="D179" s="11">
        <v>88.2</v>
      </c>
      <c r="E179" s="11">
        <v>90.87</v>
      </c>
      <c r="F179" s="11">
        <v>88.4</v>
      </c>
      <c r="G179" s="11">
        <v>90</v>
      </c>
      <c r="H179" s="13">
        <f t="shared" si="61"/>
        <v>2.040816326530609E-2</v>
      </c>
      <c r="I179" s="14">
        <v>454868336</v>
      </c>
      <c r="J179" s="20">
        <v>0.05</v>
      </c>
      <c r="K179" s="14">
        <v>5046065</v>
      </c>
      <c r="L179" s="14">
        <f t="shared" ref="L179" si="277">G179*1261875720</f>
        <v>113568814800</v>
      </c>
      <c r="M179" s="12">
        <f t="shared" ref="M179" si="278">G179/(9352763248/1261875720)</f>
        <v>12.142808685367463</v>
      </c>
      <c r="N179" s="15">
        <f t="shared" ref="N179" si="279">2.3/G179</f>
        <v>2.5555555555555554E-2</v>
      </c>
      <c r="O179" s="23" t="s">
        <v>22</v>
      </c>
      <c r="P179" s="23"/>
    </row>
    <row r="180" spans="1:16" ht="25.2" x14ac:dyDescent="0.25">
      <c r="A180" s="17">
        <v>46161</v>
      </c>
      <c r="B180" s="2" t="s">
        <v>13</v>
      </c>
      <c r="C180" s="11">
        <v>22</v>
      </c>
      <c r="D180" s="11">
        <v>45.26</v>
      </c>
      <c r="E180" s="11">
        <v>45.78</v>
      </c>
      <c r="F180" s="11">
        <v>44.5</v>
      </c>
      <c r="G180" s="11">
        <v>44.51</v>
      </c>
      <c r="H180" s="13">
        <f t="shared" si="61"/>
        <v>-1.6570923552806011E-2</v>
      </c>
      <c r="I180" s="14">
        <v>88860520</v>
      </c>
      <c r="J180" s="20">
        <v>1.0999999999999999E-2</v>
      </c>
      <c r="K180" s="14">
        <v>1978950</v>
      </c>
      <c r="L180" s="14">
        <f t="shared" ref="L180" si="280">G180*2868140263</f>
        <v>127660923106.12999</v>
      </c>
      <c r="M180" s="12">
        <f t="shared" ref="M180" si="281">G180/(11296540287/2868140263)</f>
        <v>11.300886808064725</v>
      </c>
      <c r="N180" s="24">
        <f>3.9386289551/G180</f>
        <v>8.8488630759379919E-2</v>
      </c>
      <c r="O180" s="23">
        <f t="shared" ref="O180" si="282">L180/16400290969</f>
        <v>7.784064523454858</v>
      </c>
      <c r="P180" s="23"/>
    </row>
    <row r="181" spans="1:16" ht="25.2" x14ac:dyDescent="0.25">
      <c r="A181" s="17">
        <v>46161</v>
      </c>
      <c r="B181" s="2" t="s">
        <v>14</v>
      </c>
      <c r="C181" s="11">
        <v>19</v>
      </c>
      <c r="D181" s="11">
        <v>90</v>
      </c>
      <c r="E181" s="11">
        <v>90.25</v>
      </c>
      <c r="F181" s="11">
        <v>88.1</v>
      </c>
      <c r="G181" s="11">
        <v>88.99</v>
      </c>
      <c r="H181" s="13">
        <f t="shared" si="61"/>
        <v>-1.1222222222222279E-2</v>
      </c>
      <c r="I181" s="14">
        <v>96688416</v>
      </c>
      <c r="J181" s="21">
        <v>1.0999999999999999E-2</v>
      </c>
      <c r="K181" s="14">
        <v>1086414</v>
      </c>
      <c r="L181" s="14">
        <f t="shared" ref="L181" si="283">G181*1261875720</f>
        <v>112294320322.79999</v>
      </c>
      <c r="M181" s="12">
        <f t="shared" ref="M181" si="284">G181/(9352763248/1261875720)</f>
        <v>12.006539387898338</v>
      </c>
      <c r="N181" s="15">
        <f t="shared" ref="N181" si="285">2.3/G181</f>
        <v>2.5845600629284187E-2</v>
      </c>
      <c r="O181" s="23" t="s">
        <v>22</v>
      </c>
      <c r="P181" s="23"/>
    </row>
    <row r="182" spans="1:16" ht="25.2" x14ac:dyDescent="0.25">
      <c r="A182" s="17">
        <v>46162</v>
      </c>
      <c r="B182" s="2" t="s">
        <v>13</v>
      </c>
      <c r="C182" s="11">
        <v>33</v>
      </c>
      <c r="D182" s="11">
        <v>44.51</v>
      </c>
      <c r="E182" s="11">
        <v>44.88</v>
      </c>
      <c r="F182" s="11">
        <v>43.5</v>
      </c>
      <c r="G182" s="11">
        <v>43.5</v>
      </c>
      <c r="H182" s="13">
        <f t="shared" si="61"/>
        <v>-2.2691529993259896E-2</v>
      </c>
      <c r="I182" s="14">
        <v>64158555</v>
      </c>
      <c r="J182" s="21">
        <f>I182/9343502594</f>
        <v>6.8666492414953565E-3</v>
      </c>
      <c r="K182" s="14">
        <v>1458152</v>
      </c>
      <c r="L182" s="14">
        <f t="shared" ref="L182" si="286">G182*2868140263</f>
        <v>124764101440.5</v>
      </c>
      <c r="M182" s="12">
        <f t="shared" ref="M182" si="287">G182/(11296540287/2868140263)</f>
        <v>11.044452396109088</v>
      </c>
      <c r="N182" s="25">
        <v>9.06E-2</v>
      </c>
      <c r="O182" s="23">
        <f t="shared" ref="O182" si="288">L182/16400290969</f>
        <v>7.6074321898514112</v>
      </c>
      <c r="P182" s="23"/>
    </row>
    <row r="183" spans="1:16" ht="25.2" x14ac:dyDescent="0.25">
      <c r="A183" s="17">
        <v>46162</v>
      </c>
      <c r="B183" s="2" t="s">
        <v>14</v>
      </c>
      <c r="C183" s="11">
        <v>43</v>
      </c>
      <c r="D183" s="11">
        <v>88.99</v>
      </c>
      <c r="E183" s="11">
        <v>89.5</v>
      </c>
      <c r="F183" s="11">
        <v>85.95</v>
      </c>
      <c r="G183" s="11">
        <v>86.01</v>
      </c>
      <c r="H183" s="13">
        <f t="shared" si="61"/>
        <v>-3.3486908641420274E-2</v>
      </c>
      <c r="I183" s="14">
        <v>47996628</v>
      </c>
      <c r="J183" s="21">
        <f>I183/9343502594</f>
        <v>5.1368988788873882E-3</v>
      </c>
      <c r="K183" s="14">
        <v>550410</v>
      </c>
      <c r="L183" s="14">
        <f t="shared" ref="L183" si="289">G183*1261875720</f>
        <v>108533930677.20001</v>
      </c>
      <c r="M183" s="12">
        <f t="shared" ref="M183" si="290">G183/(9352763248/1261875720)</f>
        <v>11.604477500316172</v>
      </c>
      <c r="N183" s="15">
        <f t="shared" ref="N183" si="291">2.3/G183</f>
        <v>2.6741076618997786E-2</v>
      </c>
      <c r="O183" s="23" t="s">
        <v>22</v>
      </c>
      <c r="P183" s="23"/>
    </row>
    <row r="184" spans="1:16" ht="25.2" x14ac:dyDescent="0.25">
      <c r="A184" s="17">
        <v>46163</v>
      </c>
      <c r="B184" s="2" t="s">
        <v>13</v>
      </c>
      <c r="C184" s="11">
        <v>28</v>
      </c>
      <c r="D184" s="11">
        <v>43.5</v>
      </c>
      <c r="E184" s="11">
        <v>43.9</v>
      </c>
      <c r="F184" s="11">
        <v>43.1</v>
      </c>
      <c r="G184" s="11">
        <v>43.22</v>
      </c>
      <c r="H184" s="13">
        <f t="shared" si="61"/>
        <v>-6.4367816091954284E-3</v>
      </c>
      <c r="I184" s="14">
        <v>59225099</v>
      </c>
      <c r="J184" s="21">
        <v>0.01</v>
      </c>
      <c r="K184" s="14">
        <v>1365348</v>
      </c>
      <c r="L184" s="14">
        <f t="shared" ref="L184" si="292">G184*2868140263</f>
        <v>123961022166.86</v>
      </c>
      <c r="M184" s="12">
        <f t="shared" ref="M184" si="293">G184/(11296540287/2868140263)</f>
        <v>10.97336166804218</v>
      </c>
      <c r="N184" s="24">
        <f>3.9386289551/G184</f>
        <v>9.1129776841739937E-2</v>
      </c>
      <c r="O184" s="23">
        <f t="shared" ref="O184" si="294">L184/16400290969</f>
        <v>7.5584648102385747</v>
      </c>
      <c r="P184" s="23"/>
    </row>
    <row r="185" spans="1:16" ht="25.2" x14ac:dyDescent="0.25">
      <c r="A185" s="17">
        <v>46163</v>
      </c>
      <c r="B185" s="2" t="s">
        <v>14</v>
      </c>
      <c r="C185" s="11">
        <v>46</v>
      </c>
      <c r="D185" s="11">
        <v>86.01</v>
      </c>
      <c r="E185" s="11">
        <v>86.98</v>
      </c>
      <c r="F185" s="11">
        <v>85.6</v>
      </c>
      <c r="G185" s="11">
        <v>86.01</v>
      </c>
      <c r="H185" s="13">
        <f t="shared" si="61"/>
        <v>0</v>
      </c>
      <c r="I185" s="14">
        <v>35753935</v>
      </c>
      <c r="J185" s="21">
        <v>6.0000000000000001E-3</v>
      </c>
      <c r="K185" s="14">
        <v>415187</v>
      </c>
      <c r="L185" s="14">
        <f t="shared" ref="L185" si="295">G185*1261875720</f>
        <v>108533930677.20001</v>
      </c>
      <c r="M185" s="12">
        <f t="shared" ref="M185" si="296">G185/(9352763248/1261875720)</f>
        <v>11.604477500316172</v>
      </c>
      <c r="N185" s="15">
        <f t="shared" ref="N185" si="297">2.3/G185</f>
        <v>2.6741076618997786E-2</v>
      </c>
      <c r="O185" s="23" t="s">
        <v>22</v>
      </c>
      <c r="P185" s="23"/>
    </row>
    <row r="186" spans="1:16" ht="25.2" x14ac:dyDescent="0.25">
      <c r="A186" s="17">
        <v>46166</v>
      </c>
      <c r="B186" s="2" t="s">
        <v>13</v>
      </c>
      <c r="C186" s="11">
        <v>20</v>
      </c>
      <c r="D186" s="11">
        <v>43.22</v>
      </c>
      <c r="E186" s="11">
        <v>45.1</v>
      </c>
      <c r="F186" s="11">
        <v>43.27</v>
      </c>
      <c r="G186" s="11">
        <v>44.44</v>
      </c>
      <c r="H186" s="13">
        <f t="shared" si="61"/>
        <v>2.8227672373900947E-2</v>
      </c>
      <c r="I186" s="14">
        <v>85003204</v>
      </c>
      <c r="J186" s="21">
        <v>1.2999999999999999E-2</v>
      </c>
      <c r="K186" s="14">
        <v>1910743</v>
      </c>
      <c r="L186" s="14">
        <f t="shared" ref="L186" si="298">G186*2868140263</f>
        <v>127460153287.71999</v>
      </c>
      <c r="M186" s="12">
        <f t="shared" ref="M186" si="299">G186/(11296540287/2868140263)</f>
        <v>11.283114126047998</v>
      </c>
      <c r="N186" s="24">
        <f>3.9386289551/G186</f>
        <v>8.8628014291179127E-2</v>
      </c>
      <c r="O186" s="23">
        <f t="shared" ref="O186" si="300">L186/16400290969</f>
        <v>7.771822678551648</v>
      </c>
      <c r="P186" s="12">
        <f>G186/(47806568940/2868140263)</f>
        <v>2.6661640045260273</v>
      </c>
    </row>
    <row r="187" spans="1:16" ht="25.2" x14ac:dyDescent="0.25">
      <c r="A187" s="17">
        <v>46166</v>
      </c>
      <c r="B187" s="2" t="s">
        <v>14</v>
      </c>
      <c r="C187" s="11">
        <v>13</v>
      </c>
      <c r="D187" s="11">
        <v>86.01</v>
      </c>
      <c r="E187" s="11">
        <v>86</v>
      </c>
      <c r="F187" s="11">
        <v>84</v>
      </c>
      <c r="G187" s="11">
        <v>84.2</v>
      </c>
      <c r="H187" s="13">
        <f t="shared" si="61"/>
        <v>-2.1044064643646113E-2</v>
      </c>
      <c r="I187" s="14">
        <v>107971809</v>
      </c>
      <c r="J187" s="21">
        <v>1.6E-2</v>
      </c>
      <c r="K187" s="14">
        <v>1272162</v>
      </c>
      <c r="L187" s="14">
        <f t="shared" ref="L187" si="301">G187*1261875720</f>
        <v>106249935624</v>
      </c>
      <c r="M187" s="12">
        <f t="shared" ref="M187" si="302">G187/(9352763248/1261875720)</f>
        <v>11.360272125643782</v>
      </c>
      <c r="N187" s="15">
        <f t="shared" ref="N187" si="303">2.3/G187</f>
        <v>2.7315914489311161E-2</v>
      </c>
      <c r="O187" s="23" t="s">
        <v>22</v>
      </c>
      <c r="P187" s="23" t="s">
        <v>22</v>
      </c>
    </row>
    <row r="188" spans="1:16" ht="25.2" x14ac:dyDescent="0.25">
      <c r="A188" s="17">
        <v>46167</v>
      </c>
      <c r="B188" s="2" t="s">
        <v>13</v>
      </c>
      <c r="C188" s="11">
        <v>21</v>
      </c>
      <c r="D188" s="11">
        <v>44.44</v>
      </c>
      <c r="E188" s="11">
        <v>44.74</v>
      </c>
      <c r="F188" s="11">
        <v>43.14</v>
      </c>
      <c r="G188" s="11">
        <v>44</v>
      </c>
      <c r="H188" s="13">
        <f t="shared" si="61"/>
        <v>-9.9009900990098508E-3</v>
      </c>
      <c r="I188" s="14">
        <v>81808114</v>
      </c>
      <c r="J188" s="21">
        <v>8.9999999999999993E-3</v>
      </c>
      <c r="K188" s="14">
        <v>1877044</v>
      </c>
      <c r="L188" s="14">
        <f t="shared" ref="L188" si="304">G188*2868140263</f>
        <v>126198171572</v>
      </c>
      <c r="M188" s="12">
        <f t="shared" ref="M188" si="305">G188/(11296540287/2868140263)</f>
        <v>11.171400124799998</v>
      </c>
      <c r="N188" s="24">
        <f>3.9386289551/G188</f>
        <v>8.951429443409091E-2</v>
      </c>
      <c r="O188" s="23">
        <f t="shared" ref="O188" si="306">L188/16400290969</f>
        <v>7.6948739391600487</v>
      </c>
      <c r="P188" s="12">
        <f>G188/(47806568940/2868140263)</f>
        <v>2.6397663411148784</v>
      </c>
    </row>
    <row r="189" spans="1:16" ht="25.2" x14ac:dyDescent="0.25">
      <c r="A189" s="17">
        <v>46167</v>
      </c>
      <c r="B189" s="2" t="s">
        <v>14</v>
      </c>
      <c r="C189" s="11">
        <v>7</v>
      </c>
      <c r="D189" s="11">
        <v>84.2</v>
      </c>
      <c r="E189" s="11">
        <v>86</v>
      </c>
      <c r="F189" s="11">
        <v>81.52</v>
      </c>
      <c r="G189" s="11">
        <v>86</v>
      </c>
      <c r="H189" s="13">
        <f t="shared" si="61"/>
        <v>2.1377672209026095E-2</v>
      </c>
      <c r="I189" s="14">
        <v>236695212</v>
      </c>
      <c r="J189" s="20">
        <v>2.5999999999999999E-2</v>
      </c>
      <c r="K189" s="14">
        <v>2847643</v>
      </c>
      <c r="L189" s="14">
        <f t="shared" ref="L189" si="307">G189*1261875720</f>
        <v>108521311920</v>
      </c>
      <c r="M189" s="12">
        <f t="shared" ref="M189" si="308">G189/(9352763248/1261875720)</f>
        <v>11.60312829935113</v>
      </c>
      <c r="N189" s="15">
        <f t="shared" ref="N189" si="309">2.3/G189</f>
        <v>2.6744186046511628E-2</v>
      </c>
      <c r="O189" s="23" t="s">
        <v>22</v>
      </c>
      <c r="P189" s="23" t="s">
        <v>22</v>
      </c>
    </row>
    <row r="190" spans="1:16" ht="25.2" x14ac:dyDescent="0.25">
      <c r="A190" s="17">
        <v>46174</v>
      </c>
      <c r="B190" s="2" t="s">
        <v>13</v>
      </c>
      <c r="C190" s="11">
        <v>25</v>
      </c>
      <c r="D190" s="11">
        <v>44</v>
      </c>
      <c r="E190" s="11">
        <v>43.84</v>
      </c>
      <c r="F190" s="11">
        <v>43.2</v>
      </c>
      <c r="G190" s="11">
        <v>43.52</v>
      </c>
      <c r="H190" s="13">
        <f t="shared" si="61"/>
        <v>-1.0909090909090839E-2</v>
      </c>
      <c r="I190" s="14">
        <v>70699325</v>
      </c>
      <c r="J190" s="21">
        <v>8.0000000000000002E-3</v>
      </c>
      <c r="K190" s="14">
        <v>1628127</v>
      </c>
      <c r="L190" s="14">
        <f t="shared" ref="L190" si="310">G190*2868140263</f>
        <v>124821464245.76001</v>
      </c>
      <c r="M190" s="12">
        <f t="shared" ref="M190" si="311">G190/(11296540287/2868140263)</f>
        <v>11.049530305256726</v>
      </c>
      <c r="N190" s="24">
        <f>3.9386289551/G190</f>
        <v>9.0501584446231617E-2</v>
      </c>
      <c r="O190" s="23">
        <f t="shared" ref="O190" si="312">L190/16400290969</f>
        <v>7.6109298598237576</v>
      </c>
      <c r="P190" s="12">
        <f>G190/(47806568940/2868140263)</f>
        <v>2.6109688901208981</v>
      </c>
    </row>
    <row r="191" spans="1:16" ht="25.2" x14ac:dyDescent="0.25">
      <c r="A191" s="17">
        <v>46174</v>
      </c>
      <c r="B191" s="2" t="s">
        <v>14</v>
      </c>
      <c r="C191" s="11">
        <v>15</v>
      </c>
      <c r="D191" s="11">
        <v>86</v>
      </c>
      <c r="E191" s="11">
        <v>84.5</v>
      </c>
      <c r="F191" s="11">
        <v>83.06</v>
      </c>
      <c r="G191" s="11">
        <v>83.6</v>
      </c>
      <c r="H191" s="13">
        <f t="shared" si="61"/>
        <v>-2.7906976744186112E-2</v>
      </c>
      <c r="I191" s="14">
        <v>156943413</v>
      </c>
      <c r="J191" s="20">
        <v>1.7999999999999999E-2</v>
      </c>
      <c r="K191" s="14">
        <v>1873083</v>
      </c>
      <c r="L191" s="14">
        <f t="shared" ref="L191" si="313">G191*1261875720</f>
        <v>105492810192</v>
      </c>
      <c r="M191" s="12">
        <f t="shared" ref="M191" si="314">G191/(9352763248/1261875720)</f>
        <v>11.279320067741331</v>
      </c>
      <c r="N191" s="15">
        <f t="shared" ref="N191" si="315">2.3/G191</f>
        <v>2.751196172248804E-2</v>
      </c>
      <c r="O191" s="23" t="s">
        <v>22</v>
      </c>
      <c r="P191" s="23" t="s">
        <v>22</v>
      </c>
    </row>
    <row r="192" spans="1:16" ht="25.2" x14ac:dyDescent="0.25">
      <c r="A192" s="17">
        <v>46175</v>
      </c>
      <c r="B192" s="2" t="s">
        <v>13</v>
      </c>
      <c r="C192" s="11">
        <v>30</v>
      </c>
      <c r="D192" s="11">
        <v>43.52</v>
      </c>
      <c r="E192" s="11">
        <v>43.84</v>
      </c>
      <c r="F192" s="11">
        <v>42.55</v>
      </c>
      <c r="G192" s="11">
        <v>42.8</v>
      </c>
      <c r="H192" s="13">
        <f t="shared" si="61"/>
        <v>-1.6544117647058959E-2</v>
      </c>
      <c r="I192" s="14">
        <v>78173779</v>
      </c>
      <c r="J192" s="21">
        <f>I192/10393795759</f>
        <v>7.5211963764353585E-3</v>
      </c>
      <c r="K192" s="14">
        <v>1808879</v>
      </c>
      <c r="L192" s="14">
        <f t="shared" ref="L192" si="316">G192*2868140263</f>
        <v>122756403256.39999</v>
      </c>
      <c r="M192" s="12">
        <f t="shared" ref="M192" si="317">G192/(11296540287/2868140263)</f>
        <v>10.866725575941816</v>
      </c>
      <c r="N192" s="24">
        <f>3.9386289551/G192</f>
        <v>9.2024041007009352E-2</v>
      </c>
      <c r="O192" s="23">
        <f t="shared" ref="O192" si="318">L192/16400290969</f>
        <v>7.48501374081932</v>
      </c>
      <c r="P192" s="12">
        <f>G192/(47806568940/2868140263)</f>
        <v>2.5677727136299273</v>
      </c>
    </row>
    <row r="193" spans="1:16" ht="25.2" x14ac:dyDescent="0.25">
      <c r="A193" s="17">
        <v>46175</v>
      </c>
      <c r="B193" s="2" t="s">
        <v>14</v>
      </c>
      <c r="C193" s="11">
        <v>18</v>
      </c>
      <c r="D193" s="11">
        <v>83.6</v>
      </c>
      <c r="E193" s="11">
        <v>84</v>
      </c>
      <c r="F193" s="11">
        <v>81.81</v>
      </c>
      <c r="G193" s="11">
        <v>81.81</v>
      </c>
      <c r="H193" s="13">
        <f t="shared" si="61"/>
        <v>-2.1411483253588423E-2</v>
      </c>
      <c r="I193" s="14">
        <v>151896832</v>
      </c>
      <c r="J193" s="21">
        <v>1.6E-2</v>
      </c>
      <c r="K193" s="14">
        <v>1839973</v>
      </c>
      <c r="L193" s="14">
        <f t="shared" ref="L193" si="319">G193*1261875720</f>
        <v>103234052653.2</v>
      </c>
      <c r="M193" s="12">
        <f t="shared" ref="M193" si="320">G193/(9352763248/1261875720)</f>
        <v>11.037813094999024</v>
      </c>
      <c r="N193" s="15">
        <f t="shared" ref="N193" si="321">2.3/G193</f>
        <v>2.8113922503361446E-2</v>
      </c>
      <c r="O193" s="23" t="s">
        <v>22</v>
      </c>
      <c r="P193" s="23" t="s">
        <v>22</v>
      </c>
    </row>
    <row r="194" spans="1:16" ht="25.2" x14ac:dyDescent="0.25">
      <c r="A194" s="17">
        <v>46176</v>
      </c>
      <c r="B194" s="2" t="s">
        <v>13</v>
      </c>
      <c r="C194" s="11">
        <v>49</v>
      </c>
      <c r="D194" s="11">
        <v>42.8</v>
      </c>
      <c r="E194" s="11">
        <v>43.3</v>
      </c>
      <c r="F194" s="11">
        <v>42.63</v>
      </c>
      <c r="G194" s="11">
        <v>42.89</v>
      </c>
      <c r="H194" s="13">
        <f t="shared" si="61"/>
        <v>2.1028037383178369E-3</v>
      </c>
      <c r="I194" s="14">
        <v>44237399</v>
      </c>
      <c r="J194" s="21">
        <v>5.0000000000000001E-3</v>
      </c>
      <c r="K194" s="14">
        <v>1030015</v>
      </c>
      <c r="L194" s="14">
        <f t="shared" ref="L194" si="322">G194*2868140263</f>
        <v>123014535880.07001</v>
      </c>
      <c r="M194" s="12">
        <f t="shared" ref="M194" si="323">G194/(11296540287/2868140263)</f>
        <v>10.889576167106179</v>
      </c>
      <c r="N194" s="24">
        <f>3.9386289551/G194</f>
        <v>9.1830938566099321E-2</v>
      </c>
      <c r="O194" s="23">
        <f t="shared" ref="O194" si="324">L194/16400290969</f>
        <v>7.5007532556948755</v>
      </c>
      <c r="P194" s="12">
        <f>G194/(47806568940/2868140263)</f>
        <v>2.5731722356912989</v>
      </c>
    </row>
    <row r="195" spans="1:16" ht="25.2" x14ac:dyDescent="0.25">
      <c r="A195" s="17">
        <v>46176</v>
      </c>
      <c r="B195" s="2" t="s">
        <v>14</v>
      </c>
      <c r="C195" s="11">
        <v>22</v>
      </c>
      <c r="D195" s="11">
        <v>81.81</v>
      </c>
      <c r="E195" s="11">
        <v>82.5</v>
      </c>
      <c r="F195" s="11">
        <v>81.53</v>
      </c>
      <c r="G195" s="11">
        <v>81.7</v>
      </c>
      <c r="H195" s="13">
        <f t="shared" si="61"/>
        <v>-1.3445789023346709E-3</v>
      </c>
      <c r="I195" s="14">
        <v>111363929</v>
      </c>
      <c r="J195" s="21">
        <v>1.2E-2</v>
      </c>
      <c r="K195" s="14">
        <v>1358125</v>
      </c>
      <c r="L195" s="14">
        <f t="shared" ref="L195" si="325">G195*1261875720</f>
        <v>103095246324</v>
      </c>
      <c r="M195" s="12">
        <f t="shared" ref="M195" si="326">G195/(9352763248/1261875720)</f>
        <v>11.022971884383574</v>
      </c>
      <c r="N195" s="15">
        <f t="shared" ref="N195" si="327">2.3/G195</f>
        <v>2.8151774785801709E-2</v>
      </c>
      <c r="O195" s="23" t="s">
        <v>22</v>
      </c>
      <c r="P195" s="23" t="s">
        <v>22</v>
      </c>
    </row>
    <row r="196" spans="1:16" ht="25.2" x14ac:dyDescent="0.25">
      <c r="A196" s="17">
        <v>46177</v>
      </c>
      <c r="B196" s="2" t="s">
        <v>13</v>
      </c>
      <c r="C196" s="11">
        <v>55</v>
      </c>
      <c r="D196" s="11">
        <v>42.89</v>
      </c>
      <c r="E196" s="11">
        <v>43.2</v>
      </c>
      <c r="F196" s="11">
        <v>42.85</v>
      </c>
      <c r="G196" s="11">
        <v>42.99</v>
      </c>
      <c r="H196" s="13">
        <f t="shared" si="61"/>
        <v>2.3315458148752953E-3</v>
      </c>
      <c r="I196" s="14">
        <v>44461516</v>
      </c>
      <c r="J196" s="21">
        <f>I196/10749724848</f>
        <v>4.1360608414337339E-3</v>
      </c>
      <c r="K196" s="14">
        <v>1033588</v>
      </c>
      <c r="L196" s="14">
        <f t="shared" ref="L196" si="328">G196*2868140263</f>
        <v>123301349906.37001</v>
      </c>
      <c r="M196" s="12">
        <f t="shared" ref="M196" si="329">G196/(11296540287/2868140263)</f>
        <v>10.914965712844362</v>
      </c>
      <c r="N196" s="24">
        <f>3.9386289551/G196</f>
        <v>9.1617328567108622E-2</v>
      </c>
      <c r="O196" s="23">
        <f t="shared" ref="O196" si="330">L196/16400290969</f>
        <v>7.5182416055566028</v>
      </c>
      <c r="P196" s="12">
        <f>G196/(47806568940/2868140263)</f>
        <v>2.579171704648378</v>
      </c>
    </row>
    <row r="197" spans="1:16" ht="25.2" x14ac:dyDescent="0.25">
      <c r="A197" s="17">
        <v>46177</v>
      </c>
      <c r="B197" s="2" t="s">
        <v>14</v>
      </c>
      <c r="C197" s="11">
        <v>54</v>
      </c>
      <c r="D197" s="11">
        <v>81.7</v>
      </c>
      <c r="E197" s="11">
        <v>82.15</v>
      </c>
      <c r="F197" s="11">
        <v>81.73</v>
      </c>
      <c r="G197" s="11">
        <v>81.87</v>
      </c>
      <c r="H197" s="13">
        <f t="shared" si="61"/>
        <v>2.0807833537331909E-3</v>
      </c>
      <c r="I197" s="14">
        <v>44636651</v>
      </c>
      <c r="J197" s="21">
        <f>I197/10749724848</f>
        <v>4.1523528863443146E-3</v>
      </c>
      <c r="K197" s="14">
        <v>545150</v>
      </c>
      <c r="L197" s="14">
        <f t="shared" ref="L197" si="331">G197*1261875720</f>
        <v>103309765196.40001</v>
      </c>
      <c r="M197" s="12">
        <f t="shared" ref="M197" si="332">G197/(9352763248/1261875720)</f>
        <v>11.045908300789268</v>
      </c>
      <c r="N197" s="15">
        <f t="shared" ref="N197" si="333">2.3/G197</f>
        <v>2.8093318675949674E-2</v>
      </c>
      <c r="O197" s="23" t="s">
        <v>22</v>
      </c>
      <c r="P197" s="23" t="s">
        <v>22</v>
      </c>
    </row>
    <row r="198" spans="1:16" ht="25.2" x14ac:dyDescent="0.25">
      <c r="A198" s="17">
        <v>46180</v>
      </c>
      <c r="B198" s="2" t="s">
        <v>13</v>
      </c>
      <c r="C198" s="11">
        <v>59</v>
      </c>
      <c r="D198" s="11">
        <v>42.99</v>
      </c>
      <c r="E198" s="11">
        <v>43.1</v>
      </c>
      <c r="F198" s="11">
        <v>42.3</v>
      </c>
      <c r="G198" s="11">
        <v>42.39</v>
      </c>
      <c r="H198" s="13">
        <f t="shared" si="61"/>
        <v>-1.3956734124214967E-2</v>
      </c>
      <c r="I198" s="14">
        <v>34424466</v>
      </c>
      <c r="J198" s="21">
        <f>I198/9246626809</f>
        <v>3.7229215270690613E-3</v>
      </c>
      <c r="K198" s="14">
        <v>807365</v>
      </c>
      <c r="L198" s="14">
        <f t="shared" ref="L198" si="334">G198*2868140263</f>
        <v>121580465748.57001</v>
      </c>
      <c r="M198" s="12">
        <f t="shared" ref="M198" si="335">G198/(11296540287/2868140263)</f>
        <v>10.762628438415272</v>
      </c>
      <c r="N198" s="24">
        <f>3.9386289551/G198</f>
        <v>9.2914106041519229E-2</v>
      </c>
      <c r="O198" s="23">
        <f t="shared" ref="O198" si="336">L198/16400290969</f>
        <v>7.413311506386238</v>
      </c>
      <c r="P198" s="12">
        <f>G198/(47806568940/2868140263)</f>
        <v>2.5431748909059024</v>
      </c>
    </row>
    <row r="199" spans="1:16" ht="25.2" x14ac:dyDescent="0.25">
      <c r="A199" s="17">
        <v>46180</v>
      </c>
      <c r="B199" s="2" t="s">
        <v>14</v>
      </c>
      <c r="C199" s="11">
        <v>31</v>
      </c>
      <c r="D199" s="11">
        <v>81.87</v>
      </c>
      <c r="E199" s="11">
        <v>82</v>
      </c>
      <c r="F199" s="11">
        <v>81.2</v>
      </c>
      <c r="G199" s="11">
        <v>81.41</v>
      </c>
      <c r="H199" s="13">
        <f t="shared" si="61"/>
        <v>-5.6186637351900324E-3</v>
      </c>
      <c r="I199" s="14">
        <v>62821634</v>
      </c>
      <c r="J199" s="21">
        <v>8.0000000000000002E-3</v>
      </c>
      <c r="K199" s="14">
        <v>770680</v>
      </c>
      <c r="L199" s="14">
        <f t="shared" ref="L199" si="337">G199*1261875720</f>
        <v>102729302365.2</v>
      </c>
      <c r="M199" s="12">
        <f t="shared" ref="M199" si="338">G199/(9352763248/1261875720)</f>
        <v>10.98384505639739</v>
      </c>
      <c r="N199" s="15">
        <f t="shared" ref="N199" si="339">2.3/G199</f>
        <v>2.8252057486795233E-2</v>
      </c>
      <c r="O199" s="23" t="s">
        <v>22</v>
      </c>
      <c r="P199" s="23" t="s">
        <v>22</v>
      </c>
    </row>
    <row r="200" spans="1:16" ht="25.2" x14ac:dyDescent="0.25">
      <c r="A200" s="17">
        <v>46181</v>
      </c>
      <c r="B200" s="2" t="s">
        <v>13</v>
      </c>
      <c r="C200" s="11">
        <v>32</v>
      </c>
      <c r="D200" s="11">
        <v>42.39</v>
      </c>
      <c r="E200" s="11">
        <v>43.33</v>
      </c>
      <c r="F200" s="11">
        <v>42.42</v>
      </c>
      <c r="G200" s="11">
        <v>42.56</v>
      </c>
      <c r="H200" s="13">
        <f t="shared" si="61"/>
        <v>4.0103798065581906E-3</v>
      </c>
      <c r="I200" s="14">
        <v>67279063</v>
      </c>
      <c r="J200" s="21">
        <v>7.0000000000000001E-3</v>
      </c>
      <c r="K200" s="14">
        <v>1565977</v>
      </c>
      <c r="L200" s="14">
        <f t="shared" ref="L200:L202" si="340">G200*2868140263</f>
        <v>122068049593.28001</v>
      </c>
      <c r="M200" s="12">
        <f t="shared" ref="M200" si="341">G200/(11296540287/2868140263)</f>
        <v>10.80579066617018</v>
      </c>
      <c r="N200" s="25">
        <v>9.2600000000000002E-2</v>
      </c>
      <c r="O200" s="23">
        <f t="shared" ref="O200" si="342">L200/16400290969</f>
        <v>7.4430417011511754</v>
      </c>
      <c r="P200" s="12">
        <f>G200/(47806568940/2868140263)</f>
        <v>2.5533739881329374</v>
      </c>
    </row>
    <row r="201" spans="1:16" ht="25.2" x14ac:dyDescent="0.25">
      <c r="A201" s="17">
        <v>46181</v>
      </c>
      <c r="B201" s="2" t="s">
        <v>14</v>
      </c>
      <c r="C201" s="11">
        <v>22</v>
      </c>
      <c r="D201" s="11">
        <v>81.41</v>
      </c>
      <c r="E201" s="11">
        <v>83.7</v>
      </c>
      <c r="F201" s="11">
        <v>81.8</v>
      </c>
      <c r="G201" s="11">
        <v>81.900000000000006</v>
      </c>
      <c r="H201" s="13">
        <f t="shared" si="61"/>
        <v>6.0189165950130094E-3</v>
      </c>
      <c r="I201" s="14">
        <v>89988937</v>
      </c>
      <c r="J201" s="21">
        <v>8.9999999999999993E-3</v>
      </c>
      <c r="K201" s="14">
        <v>1088789</v>
      </c>
      <c r="L201" s="14">
        <f t="shared" ref="L201:L203" si="343">G201*1261875720</f>
        <v>103347621468</v>
      </c>
      <c r="M201" s="12">
        <f t="shared" ref="M201" si="344">G201/(9352763248/1261875720)</f>
        <v>11.049955903684392</v>
      </c>
      <c r="N201" s="15">
        <f t="shared" ref="N201" si="345">2.3/G201</f>
        <v>2.808302808302808E-2</v>
      </c>
      <c r="O201" s="23" t="s">
        <v>22</v>
      </c>
      <c r="P201" s="23" t="s">
        <v>22</v>
      </c>
    </row>
    <row r="202" spans="1:16" ht="25.2" x14ac:dyDescent="0.25">
      <c r="A202" s="17">
        <v>46182</v>
      </c>
      <c r="B202" s="2" t="s">
        <v>13</v>
      </c>
      <c r="C202" s="11">
        <v>46</v>
      </c>
      <c r="D202" s="11">
        <v>42.56</v>
      </c>
      <c r="E202" s="11">
        <v>42.84</v>
      </c>
      <c r="F202" s="11">
        <v>42.01</v>
      </c>
      <c r="G202" s="11">
        <v>42.15</v>
      </c>
      <c r="H202" s="13">
        <f t="shared" si="61"/>
        <v>-9.6334586466166276E-3</v>
      </c>
      <c r="I202" s="14">
        <v>39255353</v>
      </c>
      <c r="J202" s="21">
        <v>5.0000000000000001E-3</v>
      </c>
      <c r="K202" s="14">
        <v>927477</v>
      </c>
      <c r="L202" s="14">
        <f t="shared" si="340"/>
        <v>120892112085.45</v>
      </c>
      <c r="M202" s="12">
        <f t="shared" ref="M202" si="346">G202/(11296540287/2868140263)</f>
        <v>10.701693528643634</v>
      </c>
      <c r="N202" s="25">
        <v>9.35E-2</v>
      </c>
      <c r="O202" s="23">
        <f t="shared" ref="O202" si="347">L202/16400290969</f>
        <v>7.3713394667180916</v>
      </c>
      <c r="P202" s="12">
        <f>G202/(47806568940/2868140263)</f>
        <v>2.528776165408912</v>
      </c>
    </row>
    <row r="203" spans="1:16" ht="25.2" x14ac:dyDescent="0.25">
      <c r="A203" s="17">
        <v>46182</v>
      </c>
      <c r="B203" s="2" t="s">
        <v>14</v>
      </c>
      <c r="C203" s="11">
        <v>37</v>
      </c>
      <c r="D203" s="11">
        <v>81.900000000000006</v>
      </c>
      <c r="E203" s="11">
        <v>82.28</v>
      </c>
      <c r="F203" s="11">
        <v>81.2</v>
      </c>
      <c r="G203" s="11">
        <v>81.2</v>
      </c>
      <c r="H203" s="13">
        <f t="shared" si="61"/>
        <v>-8.5470085470085808E-3</v>
      </c>
      <c r="I203" s="14">
        <v>58401896</v>
      </c>
      <c r="J203" s="21">
        <f>I203/8886231064</f>
        <v>6.5721784161789833E-3</v>
      </c>
      <c r="K203" s="14">
        <v>716042</v>
      </c>
      <c r="L203" s="14">
        <f t="shared" si="343"/>
        <v>102464308464</v>
      </c>
      <c r="M203" s="12">
        <f t="shared" ref="M203" si="348">G203/(9352763248/1261875720)</f>
        <v>10.955511836131533</v>
      </c>
      <c r="N203" s="15">
        <f t="shared" ref="N203" si="349">2.3/G203</f>
        <v>2.8325123152709356E-2</v>
      </c>
      <c r="O203" s="23" t="s">
        <v>22</v>
      </c>
      <c r="P203" s="23" t="s">
        <v>22</v>
      </c>
    </row>
    <row r="204" spans="1:16" ht="25.2" x14ac:dyDescent="0.25">
      <c r="A204" s="17">
        <v>46183</v>
      </c>
      <c r="B204" s="2" t="s">
        <v>13</v>
      </c>
      <c r="C204" s="11">
        <v>44</v>
      </c>
      <c r="D204" s="11">
        <v>42.15</v>
      </c>
      <c r="E204" s="11">
        <v>42.48</v>
      </c>
      <c r="F204" s="11">
        <v>41.05</v>
      </c>
      <c r="G204" s="11">
        <v>41.2</v>
      </c>
      <c r="H204" s="13">
        <f t="shared" si="61"/>
        <v>-2.2538552787663008E-2</v>
      </c>
      <c r="I204" s="14">
        <v>52308977</v>
      </c>
      <c r="J204" s="21">
        <v>6.0000000000000001E-3</v>
      </c>
      <c r="K204" s="14">
        <v>1254395</v>
      </c>
      <c r="L204" s="14">
        <f t="shared" ref="L204" si="350">G204*2868140263</f>
        <v>118167378835.60001</v>
      </c>
      <c r="M204" s="12">
        <f t="shared" ref="M204" si="351">G204/(11296540287/2868140263)</f>
        <v>10.460492844130908</v>
      </c>
      <c r="N204" s="24">
        <f>3.9386289551/G204</f>
        <v>9.5597790172330097E-2</v>
      </c>
      <c r="O204" s="23">
        <f t="shared" ref="O204" si="352">L204/16400290969</f>
        <v>7.2052001430316821</v>
      </c>
      <c r="P204" s="12">
        <f>G204/(47806568940/2868140263)</f>
        <v>2.4717812103166592</v>
      </c>
    </row>
    <row r="205" spans="1:16" ht="25.2" x14ac:dyDescent="0.25">
      <c r="A205" s="17">
        <v>46183</v>
      </c>
      <c r="B205" s="2" t="s">
        <v>14</v>
      </c>
      <c r="C205" s="11">
        <v>33</v>
      </c>
      <c r="D205" s="11">
        <v>81.2</v>
      </c>
      <c r="E205" s="11">
        <v>81.489999999999995</v>
      </c>
      <c r="F205" s="11">
        <v>79</v>
      </c>
      <c r="G205" s="11">
        <v>79</v>
      </c>
      <c r="H205" s="13">
        <f t="shared" si="61"/>
        <v>-2.7093596059113333E-2</v>
      </c>
      <c r="I205" s="14">
        <v>77630875</v>
      </c>
      <c r="J205" s="21">
        <v>8.0000000000000002E-3</v>
      </c>
      <c r="K205" s="14">
        <v>966404</v>
      </c>
      <c r="L205" s="14">
        <f t="shared" ref="L205" si="353">G205*1261875720</f>
        <v>99688181880</v>
      </c>
      <c r="M205" s="12">
        <f t="shared" ref="M205" si="354">G205/(9352763248/1261875720)</f>
        <v>10.65868762382255</v>
      </c>
      <c r="N205" s="15">
        <f t="shared" ref="N205" si="355">2.3/G205</f>
        <v>2.911392405063291E-2</v>
      </c>
      <c r="O205" s="23" t="s">
        <v>22</v>
      </c>
      <c r="P205" s="23" t="s">
        <v>22</v>
      </c>
    </row>
    <row r="206" spans="1:16" ht="25.2" x14ac:dyDescent="0.25">
      <c r="A206" s="17">
        <v>46184</v>
      </c>
      <c r="B206" s="2" t="s">
        <v>13</v>
      </c>
      <c r="C206" s="11">
        <v>20</v>
      </c>
      <c r="D206" s="11">
        <v>41.2</v>
      </c>
      <c r="E206" s="11">
        <v>41.45</v>
      </c>
      <c r="F206" s="11">
        <v>39.47</v>
      </c>
      <c r="G206" s="11">
        <v>39.979999999999997</v>
      </c>
      <c r="H206" s="13">
        <f t="shared" si="61"/>
        <v>-2.9611650485437038E-2</v>
      </c>
      <c r="I206" s="14">
        <v>125395248</v>
      </c>
      <c r="J206" s="21">
        <f>I206/10721207093</f>
        <v>1.1696000917832471E-2</v>
      </c>
      <c r="K206" s="14">
        <v>3112102</v>
      </c>
      <c r="L206" s="14">
        <f t="shared" ref="L206" si="356">G206*2868140263</f>
        <v>114668247714.73999</v>
      </c>
      <c r="M206" s="12">
        <f t="shared" ref="M206" si="357">G206/(11296540287/2868140263)</f>
        <v>10.150740386125088</v>
      </c>
      <c r="N206" s="24">
        <f>3.9386289551/G206</f>
        <v>9.8514981368184096E-2</v>
      </c>
      <c r="O206" s="23">
        <f t="shared" ref="O206" si="358">L206/16400290969</f>
        <v>6.9918422747186071</v>
      </c>
      <c r="P206" s="12">
        <f>G206/(47806568940/2868140263)</f>
        <v>2.398587689040292</v>
      </c>
    </row>
    <row r="207" spans="1:16" ht="25.2" x14ac:dyDescent="0.25">
      <c r="A207" s="17">
        <v>46184</v>
      </c>
      <c r="B207" s="2" t="s">
        <v>14</v>
      </c>
      <c r="C207" s="11">
        <v>13</v>
      </c>
      <c r="D207" s="11">
        <v>79</v>
      </c>
      <c r="E207" s="11">
        <v>80</v>
      </c>
      <c r="F207" s="11">
        <v>75.8</v>
      </c>
      <c r="G207" s="11">
        <v>76.5</v>
      </c>
      <c r="H207" s="13">
        <f t="shared" si="61"/>
        <v>-3.1645569620253167E-2</v>
      </c>
      <c r="I207" s="14">
        <v>149304603</v>
      </c>
      <c r="J207" s="21">
        <v>1.5299999999999999E-2</v>
      </c>
      <c r="K207" s="14">
        <v>1926060</v>
      </c>
      <c r="L207" s="14">
        <f t="shared" ref="L207" si="359">G207*1261875720</f>
        <v>96533492580</v>
      </c>
      <c r="M207" s="12">
        <f t="shared" ref="M207" si="360">G207/(9352763248/1261875720)</f>
        <v>10.321387382562342</v>
      </c>
      <c r="N207" s="15">
        <f t="shared" ref="N207" si="361">2.3/G207</f>
        <v>3.006535947712418E-2</v>
      </c>
      <c r="O207" s="23" t="s">
        <v>22</v>
      </c>
      <c r="P207" s="23" t="s">
        <v>22</v>
      </c>
    </row>
    <row r="208" spans="1:16" ht="25.2" x14ac:dyDescent="0.25">
      <c r="A208" s="17">
        <v>46187</v>
      </c>
      <c r="B208" s="2" t="s">
        <v>13</v>
      </c>
      <c r="C208" s="11">
        <v>12</v>
      </c>
      <c r="D208" s="11">
        <v>39.979999999999997</v>
      </c>
      <c r="E208" s="11">
        <v>40.700000000000003</v>
      </c>
      <c r="F208" s="11">
        <v>38.15</v>
      </c>
      <c r="G208" s="11">
        <v>38.42</v>
      </c>
      <c r="H208" s="13">
        <f t="shared" si="61"/>
        <v>-3.9019509754877321E-2</v>
      </c>
      <c r="I208" s="14">
        <v>183146702</v>
      </c>
      <c r="J208" s="21">
        <v>1.9E-2</v>
      </c>
      <c r="K208" s="14">
        <v>4719583</v>
      </c>
      <c r="L208" s="14">
        <f t="shared" ref="L208" si="362">G208*2868140263</f>
        <v>110193948904.46001</v>
      </c>
      <c r="M208" s="12">
        <f t="shared" ref="M208" si="363">G208/(11296540287/2868140263)</f>
        <v>9.7546634726094528</v>
      </c>
      <c r="N208" s="24">
        <f>3.9386289551/G208</f>
        <v>0.1025150691072358</v>
      </c>
      <c r="O208" s="23">
        <f t="shared" ref="O208" si="364">L208/16400290969</f>
        <v>6.719024016875661</v>
      </c>
      <c r="P208" s="12">
        <f>G208/(47806568940/2868140263)</f>
        <v>2.3049959733098553</v>
      </c>
    </row>
    <row r="209" spans="1:16" ht="25.2" x14ac:dyDescent="0.25">
      <c r="A209" s="17">
        <v>46187</v>
      </c>
      <c r="B209" s="2" t="s">
        <v>14</v>
      </c>
      <c r="C209" s="11">
        <v>5</v>
      </c>
      <c r="D209" s="11">
        <v>76.5</v>
      </c>
      <c r="E209" s="11">
        <v>77.989999999999995</v>
      </c>
      <c r="F209" s="11">
        <v>72.7</v>
      </c>
      <c r="G209" s="11">
        <v>72.75</v>
      </c>
      <c r="H209" s="13">
        <f t="shared" si="61"/>
        <v>-4.9019607843137254E-2</v>
      </c>
      <c r="I209" s="14">
        <v>338685976</v>
      </c>
      <c r="J209" s="20">
        <v>3.5000000000000003E-2</v>
      </c>
      <c r="K209" s="14">
        <v>4581345</v>
      </c>
      <c r="L209" s="14">
        <f t="shared" ref="L209" si="365">G209*1261875720</f>
        <v>91801458630</v>
      </c>
      <c r="M209" s="12">
        <f t="shared" ref="M209" si="366">G209/(9352763248/1261875720)</f>
        <v>9.8154370206720323</v>
      </c>
      <c r="N209" s="15">
        <f t="shared" ref="N209" si="367">2.3/G209</f>
        <v>3.1615120274914088E-2</v>
      </c>
      <c r="O209" s="23" t="s">
        <v>22</v>
      </c>
      <c r="P209" s="23" t="s">
        <v>22</v>
      </c>
    </row>
    <row r="210" spans="1:16" ht="25.2" x14ac:dyDescent="0.25">
      <c r="A210" s="17">
        <v>46188</v>
      </c>
      <c r="B210" s="2" t="s">
        <v>13</v>
      </c>
      <c r="C210" s="11">
        <v>17</v>
      </c>
      <c r="D210" s="11">
        <v>38.42</v>
      </c>
      <c r="E210" s="11">
        <v>38.99</v>
      </c>
      <c r="F210" s="11">
        <v>36.9</v>
      </c>
      <c r="G210" s="11">
        <v>37.4</v>
      </c>
      <c r="H210" s="13">
        <f t="shared" si="61"/>
        <v>-2.6548672566371761E-2</v>
      </c>
      <c r="I210" s="14">
        <v>152621604</v>
      </c>
      <c r="J210" s="20">
        <v>1.4999999999999999E-2</v>
      </c>
      <c r="K210" s="14">
        <v>4050581</v>
      </c>
      <c r="L210" s="14">
        <f t="shared" ref="L210" si="368">G210*2868140263</f>
        <v>107268445836.2</v>
      </c>
      <c r="M210" s="12">
        <f t="shared" ref="M210" si="369">G210/(11296540287/2868140263)</f>
        <v>9.4956901060799979</v>
      </c>
      <c r="N210" s="24">
        <f>3.9386289551/G210</f>
        <v>0.10531093462834225</v>
      </c>
      <c r="O210" s="23">
        <f t="shared" ref="O210" si="370">L210/16400290969</f>
        <v>6.5406428482860415</v>
      </c>
      <c r="P210" s="12">
        <f>G210/(47806568940/2868140263)</f>
        <v>2.2438013899476466</v>
      </c>
    </row>
    <row r="211" spans="1:16" ht="25.2" x14ac:dyDescent="0.25">
      <c r="A211" s="17">
        <v>46188</v>
      </c>
      <c r="B211" s="2" t="s">
        <v>14</v>
      </c>
      <c r="C211" s="11">
        <v>13</v>
      </c>
      <c r="D211" s="11">
        <v>72.75</v>
      </c>
      <c r="E211" s="11">
        <v>73.75</v>
      </c>
      <c r="F211" s="11">
        <v>72.2</v>
      </c>
      <c r="G211" s="11">
        <v>72.739999999999995</v>
      </c>
      <c r="H211" s="13">
        <f t="shared" si="61"/>
        <v>-1.3745704467360985E-4</v>
      </c>
      <c r="I211" s="14">
        <v>192272390</v>
      </c>
      <c r="J211" s="20">
        <v>1.9E-2</v>
      </c>
      <c r="K211" s="14">
        <v>2638937</v>
      </c>
      <c r="L211" s="14">
        <f t="shared" ref="L211" si="371">G211*1261875720</f>
        <v>91788839872.799988</v>
      </c>
      <c r="M211" s="12">
        <f t="shared" ref="M211" si="372">G211/(9352763248/1261875720)</f>
        <v>9.814087819706991</v>
      </c>
      <c r="N211" s="15">
        <f t="shared" ref="N211" si="373">2.3/G211</f>
        <v>3.1619466593346163E-2</v>
      </c>
      <c r="O211" s="23" t="s">
        <v>22</v>
      </c>
      <c r="P211" s="23" t="s">
        <v>22</v>
      </c>
    </row>
    <row r="212" spans="1:16" ht="25.2" x14ac:dyDescent="0.25">
      <c r="A212" s="17">
        <v>46189</v>
      </c>
      <c r="B212" s="2" t="s">
        <v>13</v>
      </c>
      <c r="C212" s="11">
        <v>30</v>
      </c>
      <c r="D212" s="11">
        <v>37.4</v>
      </c>
      <c r="E212" s="11">
        <v>37.700000000000003</v>
      </c>
      <c r="F212" s="11">
        <v>37.020000000000003</v>
      </c>
      <c r="G212" s="11">
        <v>37.17</v>
      </c>
      <c r="H212" s="13">
        <f t="shared" si="61"/>
        <v>-6.1497326203207719E-3</v>
      </c>
      <c r="I212" s="14">
        <v>84989952</v>
      </c>
      <c r="J212" s="21">
        <v>8.9999999999999993E-3</v>
      </c>
      <c r="K212" s="14">
        <v>2285196</v>
      </c>
      <c r="L212" s="14">
        <f t="shared" ref="L212" si="374">G212*2868140263</f>
        <v>106608773575.71001</v>
      </c>
      <c r="M212" s="12">
        <f t="shared" ref="M212" si="375">G212/(11296540287/2868140263)</f>
        <v>9.437294150882181</v>
      </c>
      <c r="N212" s="24">
        <f>3.9386289551/G212</f>
        <v>0.10596257613935969</v>
      </c>
      <c r="O212" s="23">
        <f t="shared" ref="O212" si="376">L212/16400290969</f>
        <v>6.5004196436040687</v>
      </c>
      <c r="P212" s="12">
        <f>G212/(47806568940/2868140263)</f>
        <v>2.2300026113463645</v>
      </c>
    </row>
    <row r="213" spans="1:16" ht="25.2" x14ac:dyDescent="0.25">
      <c r="A213" s="17">
        <v>46189</v>
      </c>
      <c r="B213" s="2" t="s">
        <v>14</v>
      </c>
      <c r="C213" s="11">
        <v>15</v>
      </c>
      <c r="D213" s="11">
        <v>72.739999999999995</v>
      </c>
      <c r="E213" s="11">
        <v>73.430000000000007</v>
      </c>
      <c r="F213" s="11">
        <v>71.06</v>
      </c>
      <c r="G213" s="11">
        <v>71.16</v>
      </c>
      <c r="H213" s="13">
        <f t="shared" si="61"/>
        <v>-2.1721198790211692E-2</v>
      </c>
      <c r="I213" s="14">
        <v>151040992</v>
      </c>
      <c r="J213" s="21">
        <v>1.6E-2</v>
      </c>
      <c r="K213" s="14">
        <v>20102567</v>
      </c>
      <c r="L213" s="14">
        <f t="shared" ref="L213" si="377">G213*1261875720</f>
        <v>89795076235.199997</v>
      </c>
      <c r="M213" s="12">
        <f t="shared" ref="M213" si="378">G213/(9352763248/1261875720)</f>
        <v>9.6009140672305389</v>
      </c>
      <c r="N213" s="15">
        <f t="shared" ref="N213" si="379">2.3/G213</f>
        <v>3.2321528948847669E-2</v>
      </c>
      <c r="O213" s="23" t="s">
        <v>22</v>
      </c>
      <c r="P213" s="23" t="s">
        <v>22</v>
      </c>
    </row>
    <row r="214" spans="1:16" ht="25.2" x14ac:dyDescent="0.25">
      <c r="A214" s="17">
        <v>46190</v>
      </c>
      <c r="B214" s="2" t="s">
        <v>13</v>
      </c>
      <c r="C214" s="11">
        <v>23</v>
      </c>
      <c r="D214" s="11">
        <v>37.17</v>
      </c>
      <c r="E214" s="11">
        <v>37.380000000000003</v>
      </c>
      <c r="F214" s="11">
        <v>36.5</v>
      </c>
      <c r="G214" s="11">
        <v>36.700000000000003</v>
      </c>
      <c r="H214" s="13">
        <f t="shared" si="61"/>
        <v>-1.2644605864944817E-2</v>
      </c>
      <c r="I214" s="14">
        <v>121619943</v>
      </c>
      <c r="J214" s="21">
        <v>1.0999999999999999E-2</v>
      </c>
      <c r="K214" s="14">
        <v>3308974</v>
      </c>
      <c r="L214" s="14">
        <f t="shared" ref="L214" si="380">G214*2868140263</f>
        <v>105260747652.10001</v>
      </c>
      <c r="M214" s="12">
        <f t="shared" ref="M214" si="381">G214/(11296540287/2868140263)</f>
        <v>9.317963285912727</v>
      </c>
      <c r="N214" s="24">
        <f>3.9386289551/G214</f>
        <v>0.10731959005722071</v>
      </c>
      <c r="O214" s="23">
        <f t="shared" ref="O214" si="382">L214/16400290969</f>
        <v>6.4182243992539503</v>
      </c>
      <c r="P214" s="12">
        <f>G214/(47806568940/2868140263)</f>
        <v>2.201805107248092</v>
      </c>
    </row>
    <row r="215" spans="1:16" ht="25.2" x14ac:dyDescent="0.25">
      <c r="A215" s="17">
        <v>46190</v>
      </c>
      <c r="B215" s="2" t="s">
        <v>14</v>
      </c>
      <c r="C215" s="11">
        <v>10</v>
      </c>
      <c r="D215" s="11">
        <v>71.16</v>
      </c>
      <c r="E215" s="11">
        <v>71.7</v>
      </c>
      <c r="F215" s="11">
        <v>70.12</v>
      </c>
      <c r="G215" s="11">
        <v>70.5</v>
      </c>
      <c r="H215" s="13">
        <f t="shared" si="61"/>
        <v>-9.2748735244518911E-3</v>
      </c>
      <c r="I215" s="14">
        <v>200255889</v>
      </c>
      <c r="J215" s="21">
        <f>I215/12093371480</f>
        <v>1.6559144762168507E-2</v>
      </c>
      <c r="K215" s="14">
        <v>2836567</v>
      </c>
      <c r="L215" s="14">
        <f t="shared" ref="L215" si="383">G215*1261875720</f>
        <v>88962238260</v>
      </c>
      <c r="M215" s="12">
        <f t="shared" ref="M215" si="384">G215/(9352763248/1261875720)</f>
        <v>9.5118668035378455</v>
      </c>
      <c r="N215" s="15">
        <f t="shared" ref="N215" si="385">2.3/G215</f>
        <v>3.2624113475177303E-2</v>
      </c>
      <c r="O215" s="23" t="s">
        <v>22</v>
      </c>
      <c r="P215" s="23" t="s">
        <v>22</v>
      </c>
    </row>
    <row r="216" spans="1:16" ht="25.2" x14ac:dyDescent="0.25">
      <c r="A216" s="17">
        <v>46194</v>
      </c>
      <c r="B216" s="2" t="s">
        <v>13</v>
      </c>
      <c r="C216" s="11">
        <v>10</v>
      </c>
      <c r="D216" s="11">
        <v>36.700000000000003</v>
      </c>
      <c r="E216" s="11">
        <v>37.700000000000003</v>
      </c>
      <c r="F216" s="11">
        <v>36.76</v>
      </c>
      <c r="G216" s="11">
        <v>37.22</v>
      </c>
      <c r="H216" s="13">
        <f t="shared" si="61"/>
        <v>1.4168937329700163E-2</v>
      </c>
      <c r="I216" s="14">
        <v>159615321</v>
      </c>
      <c r="J216" s="21">
        <f>I216/9600757629</f>
        <v>1.6625283875291962E-2</v>
      </c>
      <c r="K216" s="14">
        <v>4283003</v>
      </c>
      <c r="L216" s="14">
        <f t="shared" ref="L216" si="386">G216*2868140263</f>
        <v>106752180588.86</v>
      </c>
      <c r="M216" s="12">
        <f t="shared" ref="M216" si="387">G216/(11296540287/2868140263)</f>
        <v>9.4499889237512704</v>
      </c>
      <c r="N216" s="24">
        <f>3.9386289551/G216</f>
        <v>0.10582022985222998</v>
      </c>
      <c r="O216" s="23">
        <f t="shared" ref="O216" si="388">L216/16400290969</f>
        <v>6.5091638185349323</v>
      </c>
      <c r="P216" s="12">
        <f>G216/(47806568940/2868140263)</f>
        <v>2.2330023458249042</v>
      </c>
    </row>
    <row r="217" spans="1:16" ht="25.2" x14ac:dyDescent="0.25">
      <c r="A217" s="17">
        <v>46194</v>
      </c>
      <c r="B217" s="2" t="s">
        <v>14</v>
      </c>
      <c r="C217" s="11">
        <v>6</v>
      </c>
      <c r="D217" s="11">
        <v>70.5</v>
      </c>
      <c r="E217" s="11">
        <v>72.19</v>
      </c>
      <c r="F217" s="11">
        <v>70.5</v>
      </c>
      <c r="G217" s="11">
        <v>71.489999999999995</v>
      </c>
      <c r="H217" s="13">
        <f t="shared" si="61"/>
        <v>1.4042553191489289E-2</v>
      </c>
      <c r="I217" s="14">
        <v>245013267</v>
      </c>
      <c r="J217" s="21">
        <v>2.7E-2</v>
      </c>
      <c r="K217" s="14">
        <v>3427006</v>
      </c>
      <c r="L217" s="14">
        <f t="shared" ref="L217" si="389">G217*1261875720</f>
        <v>90211495222.799988</v>
      </c>
      <c r="M217" s="12">
        <f t="shared" ref="M217" si="390">G217/(9352763248/1261875720)</f>
        <v>9.6454376990768864</v>
      </c>
      <c r="N217" s="15">
        <f t="shared" ref="N217" si="391">2.3/G217</f>
        <v>3.2172331794656596E-2</v>
      </c>
      <c r="O217" s="23" t="s">
        <v>22</v>
      </c>
      <c r="P217" s="23" t="s">
        <v>22</v>
      </c>
    </row>
    <row r="218" spans="1:16" ht="25.2" x14ac:dyDescent="0.25">
      <c r="A218" s="17">
        <v>46195</v>
      </c>
      <c r="B218" s="2" t="s">
        <v>13</v>
      </c>
      <c r="C218" s="11">
        <v>5</v>
      </c>
      <c r="D218" s="11">
        <v>37.22</v>
      </c>
      <c r="E218" s="11">
        <v>37.56</v>
      </c>
      <c r="F218" s="11">
        <v>35.01</v>
      </c>
      <c r="G218" s="11">
        <v>35.200000000000003</v>
      </c>
      <c r="H218" s="13">
        <f t="shared" si="61"/>
        <v>-5.4271896829661367E-2</v>
      </c>
      <c r="I218" s="14">
        <v>250694852</v>
      </c>
      <c r="J218" s="20">
        <v>0.03</v>
      </c>
      <c r="K218" s="14">
        <v>6990887</v>
      </c>
      <c r="L218" s="14">
        <f t="shared" ref="L218" si="392">G218*2868140263</f>
        <v>100958537257.60001</v>
      </c>
      <c r="M218" s="12">
        <f t="shared" ref="M218" si="393">G218/(11296540287/2868140263)</f>
        <v>8.9371200998399996</v>
      </c>
      <c r="N218" s="24">
        <f>3.9386289551/G218</f>
        <v>0.11189286804261363</v>
      </c>
      <c r="O218" s="23">
        <f t="shared" ref="O218" si="394">L218/16400290969</f>
        <v>6.1558991513280397</v>
      </c>
      <c r="P218" s="12">
        <f>G218/(47806568940/2868140263)</f>
        <v>2.1118130728919029</v>
      </c>
    </row>
    <row r="219" spans="1:16" ht="25.2" x14ac:dyDescent="0.25">
      <c r="A219" s="17">
        <v>46195</v>
      </c>
      <c r="B219" s="2" t="s">
        <v>14</v>
      </c>
      <c r="C219" s="11">
        <v>9</v>
      </c>
      <c r="D219" s="11">
        <v>71.489999999999995</v>
      </c>
      <c r="E219" s="11">
        <v>72</v>
      </c>
      <c r="F219" s="11">
        <v>68.540000000000006</v>
      </c>
      <c r="G219" s="11">
        <v>68.56</v>
      </c>
      <c r="H219" s="13">
        <f t="shared" si="61"/>
        <v>-4.0984753112323302E-2</v>
      </c>
      <c r="I219" s="14">
        <v>208893970</v>
      </c>
      <c r="J219" s="20">
        <v>2.5000000000000001E-2</v>
      </c>
      <c r="K219" s="14">
        <v>2989754</v>
      </c>
      <c r="L219" s="14">
        <f t="shared" ref="L219" si="395">G219*1261875720</f>
        <v>86514199363.199997</v>
      </c>
      <c r="M219" s="12">
        <f t="shared" ref="M219" si="396">G219/(9352763248/1261875720)</f>
        <v>9.2501218163199255</v>
      </c>
      <c r="N219" s="15">
        <f t="shared" ref="N219" si="397">2.3/G219</f>
        <v>3.3547257876312714E-2</v>
      </c>
      <c r="O219" s="23" t="s">
        <v>22</v>
      </c>
      <c r="P219" s="23" t="s">
        <v>22</v>
      </c>
    </row>
    <row r="220" spans="1:16" ht="25.2" x14ac:dyDescent="0.25">
      <c r="A220" s="17">
        <v>46196</v>
      </c>
      <c r="B220" s="2" t="s">
        <v>13</v>
      </c>
      <c r="C220" s="11">
        <v>26</v>
      </c>
      <c r="D220" s="11">
        <v>35.200000000000003</v>
      </c>
      <c r="E220" s="11">
        <v>35.770000000000003</v>
      </c>
      <c r="F220" s="11">
        <v>35.15</v>
      </c>
      <c r="G220" s="11">
        <v>35.659999999999997</v>
      </c>
      <c r="H220" s="13">
        <f t="shared" si="61"/>
        <v>1.3068181818181639E-2</v>
      </c>
      <c r="I220" s="14">
        <v>95948396</v>
      </c>
      <c r="J220" s="21">
        <f>I220/9063187602</f>
        <v>1.0586605972806609E-2</v>
      </c>
      <c r="K220" s="14">
        <v>2704812</v>
      </c>
      <c r="L220" s="14">
        <f t="shared" ref="L220" si="398">G220*2868140263</f>
        <v>102277881778.57999</v>
      </c>
      <c r="M220" s="12">
        <f t="shared" ref="M220" si="399">G220/(11296540287/2868140263)</f>
        <v>9.0539120102356332</v>
      </c>
      <c r="N220" s="25">
        <v>0.1105</v>
      </c>
      <c r="O220" s="23">
        <f t="shared" ref="O220" si="400">L220/16400290969</f>
        <v>6.2363455606919844</v>
      </c>
      <c r="P220" s="12">
        <f>G220/(47806568940/2868140263)</f>
        <v>2.1394106300944671</v>
      </c>
    </row>
    <row r="221" spans="1:16" ht="25.2" x14ac:dyDescent="0.25">
      <c r="A221" s="17">
        <v>46196</v>
      </c>
      <c r="B221" s="2" t="s">
        <v>14</v>
      </c>
      <c r="C221" s="11">
        <v>19</v>
      </c>
      <c r="D221" s="11">
        <v>68.56</v>
      </c>
      <c r="E221" s="11">
        <v>69.37</v>
      </c>
      <c r="F221" s="11">
        <v>68.010000000000005</v>
      </c>
      <c r="G221" s="11">
        <v>68.599999999999994</v>
      </c>
      <c r="H221" s="13">
        <f t="shared" si="61"/>
        <v>5.8343057176184427E-4</v>
      </c>
      <c r="I221" s="14">
        <v>104217432</v>
      </c>
      <c r="J221" s="21">
        <v>1.2E-2</v>
      </c>
      <c r="K221" s="14">
        <v>1519250</v>
      </c>
      <c r="L221" s="14">
        <f t="shared" ref="L221" si="401">G221*1261875720</f>
        <v>86564674392</v>
      </c>
      <c r="M221" s="12">
        <f t="shared" ref="M221" si="402">G221/(9352763248/1261875720)</f>
        <v>9.2555186201800872</v>
      </c>
      <c r="N221" s="15">
        <f t="shared" ref="N221" si="403">2.3/G221</f>
        <v>3.3527696793002916E-2</v>
      </c>
      <c r="O221" s="23" t="s">
        <v>22</v>
      </c>
      <c r="P221" s="23" t="s">
        <v>22</v>
      </c>
    </row>
    <row r="222" spans="1:16" ht="25.2" x14ac:dyDescent="0.25">
      <c r="A222" s="17">
        <v>46197</v>
      </c>
      <c r="B222" s="2" t="s">
        <v>13</v>
      </c>
      <c r="C222" s="11">
        <v>22</v>
      </c>
      <c r="D222" s="11">
        <v>35.659999999999997</v>
      </c>
      <c r="E222" s="11">
        <v>36.24</v>
      </c>
      <c r="F222" s="11">
        <v>35.46</v>
      </c>
      <c r="G222" s="11">
        <v>36.15</v>
      </c>
      <c r="H222" s="13">
        <f t="shared" si="61"/>
        <v>1.3740886146943411E-2</v>
      </c>
      <c r="I222" s="14">
        <v>99963156</v>
      </c>
      <c r="J222" s="21">
        <v>1.4E-2</v>
      </c>
      <c r="K222" s="14">
        <v>2771321</v>
      </c>
      <c r="L222" s="14">
        <f t="shared" ref="L222" si="404">G222*2868140263</f>
        <v>103683270507.45</v>
      </c>
      <c r="M222" s="12">
        <f t="shared" ref="M222" si="405">G222/(11296540287/2868140263)</f>
        <v>9.1783207843527261</v>
      </c>
      <c r="N222" s="24">
        <f>3.9386289551/G222</f>
        <v>0.10895239156569848</v>
      </c>
      <c r="O222" s="23">
        <f t="shared" ref="O222" si="406">L222/16400290969</f>
        <v>6.3220384750144492</v>
      </c>
      <c r="P222" s="12">
        <f>G222/(47806568940/2868140263)</f>
        <v>2.1688080279841557</v>
      </c>
    </row>
    <row r="223" spans="1:16" ht="25.2" x14ac:dyDescent="0.25">
      <c r="A223" s="17">
        <v>46197</v>
      </c>
      <c r="B223" s="2" t="s">
        <v>14</v>
      </c>
      <c r="C223" s="11">
        <v>7</v>
      </c>
      <c r="D223" s="11">
        <v>68.599999999999994</v>
      </c>
      <c r="E223" s="11">
        <v>70.900000000000006</v>
      </c>
      <c r="F223" s="11">
        <v>68.5</v>
      </c>
      <c r="G223" s="11">
        <v>69.849999999999994</v>
      </c>
      <c r="H223" s="13">
        <f t="shared" si="61"/>
        <v>1.8221574344023325E-2</v>
      </c>
      <c r="I223" s="14">
        <v>223649561</v>
      </c>
      <c r="J223" s="20">
        <v>3.1E-2</v>
      </c>
      <c r="K223" s="14">
        <v>3193115</v>
      </c>
      <c r="L223" s="14">
        <f t="shared" ref="L223" si="407">G223*1261875720</f>
        <v>88142019042</v>
      </c>
      <c r="M223" s="12">
        <f t="shared" ref="M223" si="408">G223/(9352763248/1261875720)</f>
        <v>9.42416874081019</v>
      </c>
      <c r="N223" s="15">
        <f t="shared" ref="N223" si="409">2.3/G223</f>
        <v>3.2927702219040803E-2</v>
      </c>
      <c r="O223" s="23" t="s">
        <v>22</v>
      </c>
      <c r="P223" s="23" t="s">
        <v>22</v>
      </c>
    </row>
    <row r="224" spans="1:16" ht="25.2" x14ac:dyDescent="0.25">
      <c r="A224" s="17">
        <v>46198</v>
      </c>
      <c r="B224" s="2" t="s">
        <v>13</v>
      </c>
      <c r="C224" s="11">
        <v>22</v>
      </c>
      <c r="D224" s="11">
        <v>36.15</v>
      </c>
      <c r="E224" s="11">
        <v>36.46</v>
      </c>
      <c r="F224" s="11">
        <v>35.450000000000003</v>
      </c>
      <c r="G224" s="11">
        <v>35.5</v>
      </c>
      <c r="H224" s="13">
        <f t="shared" si="61"/>
        <v>-1.7980636237897609E-2</v>
      </c>
      <c r="I224" s="14">
        <v>85814164</v>
      </c>
      <c r="J224" s="21">
        <v>1.0999999999999999E-2</v>
      </c>
      <c r="K224" s="14">
        <v>2400432</v>
      </c>
      <c r="L224" s="14">
        <f t="shared" ref="L224" si="410">G224*2868140263</f>
        <v>101818979336.5</v>
      </c>
      <c r="M224" s="12">
        <f t="shared" ref="M224" si="411">G224/(11296540287/2868140263)</f>
        <v>9.0132887370545447</v>
      </c>
      <c r="N224" s="25">
        <v>0.111</v>
      </c>
      <c r="O224" s="23">
        <f t="shared" ref="O224" si="412">L224/16400290969</f>
        <v>6.2083642009132207</v>
      </c>
      <c r="P224" s="12">
        <f>G224/(47806568940/2868140263)</f>
        <v>2.1298114797631409</v>
      </c>
    </row>
    <row r="225" spans="1:16" ht="25.2" x14ac:dyDescent="0.25">
      <c r="A225" s="17">
        <v>46198</v>
      </c>
      <c r="B225" s="2" t="s">
        <v>14</v>
      </c>
      <c r="C225" s="11">
        <v>20</v>
      </c>
      <c r="D225" s="11">
        <v>69.849999999999994</v>
      </c>
      <c r="E225" s="11">
        <v>70.400000000000006</v>
      </c>
      <c r="F225" s="11">
        <v>68.58</v>
      </c>
      <c r="G225" s="11">
        <v>69.05</v>
      </c>
      <c r="H225" s="13">
        <f t="shared" si="61"/>
        <v>-1.1453113815318499E-2</v>
      </c>
      <c r="I225" s="14">
        <v>96851709</v>
      </c>
      <c r="J225" s="21">
        <v>1.2E-2</v>
      </c>
      <c r="K225" s="14">
        <v>1398171</v>
      </c>
      <c r="L225" s="14">
        <f t="shared" ref="L225" si="413">G225*1261875720</f>
        <v>87132518466</v>
      </c>
      <c r="M225" s="12">
        <f t="shared" ref="M225" si="414">G225/(9352763248/1261875720)</f>
        <v>9.3162326636069253</v>
      </c>
      <c r="N225" s="15">
        <f t="shared" ref="N225" si="415">2.3/G225</f>
        <v>3.3309196234612599E-2</v>
      </c>
      <c r="O225" s="23" t="s">
        <v>22</v>
      </c>
      <c r="P225" s="23" t="s">
        <v>22</v>
      </c>
    </row>
    <row r="226" spans="1:16" ht="25.2" x14ac:dyDescent="0.25">
      <c r="A226" s="17">
        <v>46201</v>
      </c>
      <c r="B226" s="2" t="s">
        <v>13</v>
      </c>
      <c r="C226" s="11">
        <v>22</v>
      </c>
      <c r="D226" s="11">
        <v>35.5</v>
      </c>
      <c r="E226" s="11">
        <v>35.700000000000003</v>
      </c>
      <c r="F226" s="11">
        <v>34.22</v>
      </c>
      <c r="G226" s="11">
        <v>34.299999999999997</v>
      </c>
      <c r="H226" s="13">
        <f t="shared" si="61"/>
        <v>-3.3802816901408531E-2</v>
      </c>
      <c r="I226" s="14">
        <v>75249280</v>
      </c>
      <c r="J226" s="21">
        <v>1.0999999999999999E-2</v>
      </c>
      <c r="K226" s="14">
        <v>2162385</v>
      </c>
      <c r="L226" s="14">
        <f t="shared" ref="L226" si="416">G226*2868140263</f>
        <v>98377211020.899994</v>
      </c>
      <c r="M226" s="12">
        <f t="shared" ref="M226" si="417">G226/(11296540287/2868140263)</f>
        <v>8.7086141881963623</v>
      </c>
      <c r="N226" s="24">
        <f>3.9386289551/G226</f>
        <v>0.11482883251020409</v>
      </c>
      <c r="O226" s="23">
        <f t="shared" ref="O226" si="418">L226/16400290969</f>
        <v>5.9985040025724921</v>
      </c>
      <c r="P226" s="12">
        <f>G226/(47806568940/2868140263)</f>
        <v>2.0578178522781894</v>
      </c>
    </row>
    <row r="227" spans="1:16" ht="25.2" x14ac:dyDescent="0.25">
      <c r="A227" s="17">
        <v>46201</v>
      </c>
      <c r="B227" s="2" t="s">
        <v>14</v>
      </c>
      <c r="C227" s="11">
        <v>23</v>
      </c>
      <c r="D227" s="11">
        <v>69.05</v>
      </c>
      <c r="E227" s="11">
        <v>69.67</v>
      </c>
      <c r="F227" s="11">
        <v>67.69</v>
      </c>
      <c r="G227" s="11">
        <v>67.8</v>
      </c>
      <c r="H227" s="13">
        <f t="shared" si="61"/>
        <v>-1.8102824040550327E-2</v>
      </c>
      <c r="I227" s="14">
        <v>68992472</v>
      </c>
      <c r="J227" s="21">
        <v>0.01</v>
      </c>
      <c r="K227" s="14">
        <v>1006283</v>
      </c>
      <c r="L227" s="14">
        <f t="shared" ref="L227" si="419">G227*1261875720</f>
        <v>85555173816</v>
      </c>
      <c r="M227" s="12">
        <f t="shared" ref="M227" si="420">G227/(9352763248/1261875720)</f>
        <v>9.1475825429768207</v>
      </c>
      <c r="N227" s="15">
        <f t="shared" ref="N227" si="421">2.3/G227</f>
        <v>3.3923303834808259E-2</v>
      </c>
      <c r="O227" s="23" t="s">
        <v>22</v>
      </c>
      <c r="P227" s="23" t="s">
        <v>22</v>
      </c>
    </row>
    <row r="228" spans="1:16" ht="25.2" x14ac:dyDescent="0.25">
      <c r="A228" s="17">
        <v>46202</v>
      </c>
      <c r="B228" s="2" t="s">
        <v>13</v>
      </c>
      <c r="C228" s="11">
        <v>27</v>
      </c>
      <c r="D228" s="11">
        <v>34.299999999999997</v>
      </c>
      <c r="E228" s="11">
        <v>34.96</v>
      </c>
      <c r="F228" s="11">
        <v>34.299999999999997</v>
      </c>
      <c r="G228" s="11">
        <v>34.590000000000003</v>
      </c>
      <c r="H228" s="13">
        <f t="shared" si="61"/>
        <v>8.4548104956270048E-3</v>
      </c>
      <c r="I228" s="14">
        <v>55178751</v>
      </c>
      <c r="J228" s="21">
        <f>I228/6426683644</f>
        <v>8.5858825572525718E-3</v>
      </c>
      <c r="K228" s="14">
        <v>1593606</v>
      </c>
      <c r="L228" s="14">
        <f t="shared" ref="L228" si="422">G228*2868140263</f>
        <v>99208971697.170013</v>
      </c>
      <c r="M228" s="12">
        <f t="shared" ref="M228" si="423">G228/(11296540287/2868140263)</f>
        <v>8.7822438708370907</v>
      </c>
      <c r="N228" s="24">
        <f>3.9386289551/G228</f>
        <v>0.11386611607690082</v>
      </c>
      <c r="O228" s="23">
        <f t="shared" ref="O228" si="424">L228/16400290969</f>
        <v>6.049220217171503</v>
      </c>
      <c r="P228" s="12">
        <f>G228/(47806568940/2868140263)</f>
        <v>2.0752163122537195</v>
      </c>
    </row>
    <row r="229" spans="1:16" ht="25.2" x14ac:dyDescent="0.25">
      <c r="A229" s="17">
        <v>46202</v>
      </c>
      <c r="B229" s="2" t="s">
        <v>14</v>
      </c>
      <c r="C229" s="11">
        <v>21</v>
      </c>
      <c r="D229" s="11">
        <v>67.8</v>
      </c>
      <c r="E229" s="11">
        <v>68.400000000000006</v>
      </c>
      <c r="F229" s="11">
        <v>66.66</v>
      </c>
      <c r="G229" s="11">
        <v>66.900000000000006</v>
      </c>
      <c r="H229" s="13">
        <f t="shared" si="61"/>
        <v>-1.3274336283185716E-2</v>
      </c>
      <c r="I229" s="14">
        <v>67650089</v>
      </c>
      <c r="J229" s="21">
        <f>I229/6426683644</f>
        <v>1.0526438323000173E-2</v>
      </c>
      <c r="K229" s="14">
        <v>1004557</v>
      </c>
      <c r="L229" s="14">
        <f t="shared" ref="L229" si="425">G229*1261875720</f>
        <v>84419485668</v>
      </c>
      <c r="M229" s="12">
        <f t="shared" ref="M229" si="426">G229/(9352763248/1261875720)</f>
        <v>9.0261544561231482</v>
      </c>
      <c r="N229" s="15">
        <f t="shared" ref="N229" si="427">2.3/G229</f>
        <v>3.4379671150971597E-2</v>
      </c>
      <c r="O229" s="23" t="s">
        <v>22</v>
      </c>
      <c r="P229" s="23" t="s">
        <v>22</v>
      </c>
    </row>
    <row r="230" spans="1:16" ht="25.2" x14ac:dyDescent="0.25">
      <c r="A230" s="17">
        <v>46203</v>
      </c>
      <c r="B230" s="2" t="s">
        <v>13</v>
      </c>
      <c r="C230" s="11">
        <v>42</v>
      </c>
      <c r="D230" s="11">
        <v>34.590000000000003</v>
      </c>
      <c r="E230" s="11">
        <v>35.4</v>
      </c>
      <c r="F230" s="11">
        <v>34.950000000000003</v>
      </c>
      <c r="G230" s="11">
        <v>35.17</v>
      </c>
      <c r="H230" s="13">
        <f t="shared" si="61"/>
        <v>1.6767851980341086E-2</v>
      </c>
      <c r="I230" s="14">
        <v>40326447</v>
      </c>
      <c r="J230" s="21">
        <f>I230/7799729256</f>
        <v>5.1702367705877203E-3</v>
      </c>
      <c r="K230" s="14">
        <v>1148551</v>
      </c>
      <c r="L230" s="14">
        <f t="shared" ref="L230:L234" si="428">G230*2868140263</f>
        <v>100872493049.71001</v>
      </c>
      <c r="M230" s="12">
        <f t="shared" ref="M230" si="429">G230/(11296540287/2868140263)</f>
        <v>8.9295032361185438</v>
      </c>
      <c r="N230" s="24">
        <f>3.9386289551/G230</f>
        <v>0.11198831262723911</v>
      </c>
      <c r="O230" s="23">
        <f t="shared" ref="O230" si="430">L230/16400290969</f>
        <v>6.1506526463695215</v>
      </c>
      <c r="P230" s="12">
        <f>G230/(47806568940/2868140263)</f>
        <v>2.1100132322047793</v>
      </c>
    </row>
    <row r="231" spans="1:16" ht="25.2" x14ac:dyDescent="0.25">
      <c r="A231" s="17">
        <v>46203</v>
      </c>
      <c r="B231" s="2" t="s">
        <v>14</v>
      </c>
      <c r="C231" s="11">
        <v>35</v>
      </c>
      <c r="D231" s="11">
        <v>66.900000000000006</v>
      </c>
      <c r="E231" s="11">
        <v>67.989999999999995</v>
      </c>
      <c r="F231" s="11">
        <v>67.040000000000006</v>
      </c>
      <c r="G231" s="11">
        <v>67.599999999999994</v>
      </c>
      <c r="H231" s="13">
        <f t="shared" si="61"/>
        <v>1.0463378176382489E-2</v>
      </c>
      <c r="I231" s="14">
        <v>54637911</v>
      </c>
      <c r="J231" s="21">
        <f>I231/7799729256</f>
        <v>7.0051035371477E-3</v>
      </c>
      <c r="K231" s="14">
        <v>809435</v>
      </c>
      <c r="L231" s="14">
        <f t="shared" ref="L231:L235" si="431">G231*1261875720</f>
        <v>85302798672</v>
      </c>
      <c r="M231" s="12">
        <f t="shared" ref="M231" si="432">G231/(9352763248/1261875720)</f>
        <v>9.120598523676005</v>
      </c>
      <c r="N231" s="15">
        <f t="shared" ref="N231" si="433">2.3/G231</f>
        <v>3.4023668639053255E-2</v>
      </c>
      <c r="O231" s="23" t="s">
        <v>22</v>
      </c>
      <c r="P231" s="23" t="s">
        <v>22</v>
      </c>
    </row>
    <row r="232" spans="1:16" ht="25.2" x14ac:dyDescent="0.25">
      <c r="A232" s="17">
        <v>46204</v>
      </c>
      <c r="B232" s="2" t="s">
        <v>13</v>
      </c>
      <c r="C232" s="11">
        <v>38</v>
      </c>
      <c r="D232" s="11">
        <v>35.17</v>
      </c>
      <c r="E232" s="11">
        <v>36.5</v>
      </c>
      <c r="F232" s="11">
        <v>35.19</v>
      </c>
      <c r="G232" s="11">
        <v>36</v>
      </c>
      <c r="H232" s="13">
        <f t="shared" si="61"/>
        <v>2.3599658800113683E-2</v>
      </c>
      <c r="I232" s="14">
        <v>49545415</v>
      </c>
      <c r="J232" s="21">
        <v>7.0000000000000001E-3</v>
      </c>
      <c r="K232" s="14">
        <v>1384756</v>
      </c>
      <c r="L232" s="14">
        <f t="shared" si="428"/>
        <v>103253049468</v>
      </c>
      <c r="M232" s="12">
        <f t="shared" ref="M232" si="434">G232/(11296540287/2868140263)</f>
        <v>9.1402364657454527</v>
      </c>
      <c r="N232" s="24">
        <f t="shared" ref="N232" si="435">3.9386289551/G232</f>
        <v>0.10940635986388889</v>
      </c>
      <c r="O232" s="23">
        <f t="shared" ref="O232" si="436">L232/16400290969</f>
        <v>6.2958059502218582</v>
      </c>
      <c r="P232" s="12">
        <f t="shared" ref="P232" si="437">G232/(47806568940/2868140263)</f>
        <v>2.159808824548537</v>
      </c>
    </row>
    <row r="233" spans="1:16" ht="25.2" x14ac:dyDescent="0.25">
      <c r="A233" s="17">
        <v>46204</v>
      </c>
      <c r="B233" s="2" t="s">
        <v>14</v>
      </c>
      <c r="C233" s="11">
        <v>20</v>
      </c>
      <c r="D233" s="11">
        <v>67.599999999999994</v>
      </c>
      <c r="E233" s="11">
        <v>69.19</v>
      </c>
      <c r="F233" s="11">
        <v>67.73</v>
      </c>
      <c r="G233" s="11">
        <v>67.97</v>
      </c>
      <c r="H233" s="13">
        <f t="shared" si="61"/>
        <v>5.4733727810651568E-3</v>
      </c>
      <c r="I233" s="14">
        <v>100987838</v>
      </c>
      <c r="J233" s="20">
        <v>1.4999999999999999E-2</v>
      </c>
      <c r="K233" s="14">
        <v>1477849</v>
      </c>
      <c r="L233" s="14">
        <f t="shared" si="431"/>
        <v>85769692688.399994</v>
      </c>
      <c r="M233" s="12">
        <f t="shared" ref="M233" si="438">G233/(9352763248/1261875720)</f>
        <v>9.170518959382516</v>
      </c>
      <c r="N233" s="15">
        <f t="shared" ref="N233" si="439">2.3/G233</f>
        <v>3.3838458143298514E-2</v>
      </c>
      <c r="O233" s="23" t="s">
        <v>22</v>
      </c>
      <c r="P233" s="23" t="s">
        <v>22</v>
      </c>
    </row>
    <row r="234" spans="1:16" ht="25.2" x14ac:dyDescent="0.25">
      <c r="A234" s="17">
        <v>46208</v>
      </c>
      <c r="B234" s="2" t="s">
        <v>13</v>
      </c>
      <c r="C234" s="11">
        <v>33</v>
      </c>
      <c r="D234" s="11">
        <v>36</v>
      </c>
      <c r="E234" s="11">
        <v>36.44</v>
      </c>
      <c r="F234" s="11">
        <v>36.1</v>
      </c>
      <c r="G234" s="11">
        <v>36.299999999999997</v>
      </c>
      <c r="H234" s="13">
        <f t="shared" si="61"/>
        <v>8.3333333333332552E-3</v>
      </c>
      <c r="I234" s="14">
        <v>59449276</v>
      </c>
      <c r="J234" s="21">
        <v>8.0000000000000002E-3</v>
      </c>
      <c r="K234" s="14">
        <v>1638138</v>
      </c>
      <c r="L234" s="14">
        <f t="shared" si="428"/>
        <v>104113491546.89999</v>
      </c>
      <c r="M234" s="12">
        <f t="shared" ref="M234" si="440">G234/(11296540287/2868140263)</f>
        <v>9.2164051029599978</v>
      </c>
      <c r="N234" s="24">
        <f t="shared" ref="N234" si="441">3.9386289551/G234</f>
        <v>0.10850217507162535</v>
      </c>
      <c r="O234" s="23">
        <f t="shared" ref="O234" si="442">L234/16400290969</f>
        <v>6.3482709998070401</v>
      </c>
      <c r="P234" s="12">
        <f t="shared" ref="P234" si="443">G234/(47806568940/2868140263)</f>
        <v>2.1778072314197745</v>
      </c>
    </row>
    <row r="235" spans="1:16" ht="25.2" x14ac:dyDescent="0.25">
      <c r="A235" s="17">
        <v>46208</v>
      </c>
      <c r="B235" s="2" t="s">
        <v>14</v>
      </c>
      <c r="C235" s="11">
        <v>20</v>
      </c>
      <c r="D235" s="11">
        <v>67.97</v>
      </c>
      <c r="E235" s="11">
        <v>69.75</v>
      </c>
      <c r="F235" s="11">
        <v>68.2</v>
      </c>
      <c r="G235" s="11">
        <v>69.7</v>
      </c>
      <c r="H235" s="13">
        <f t="shared" si="61"/>
        <v>2.5452405473002853E-2</v>
      </c>
      <c r="I235" s="14">
        <v>113596466</v>
      </c>
      <c r="J235" s="20">
        <v>1.6E-2</v>
      </c>
      <c r="K235" s="14">
        <v>1642001</v>
      </c>
      <c r="L235" s="14">
        <f t="shared" si="431"/>
        <v>87952737684</v>
      </c>
      <c r="M235" s="12">
        <f t="shared" ref="M235" si="444">G235/(9352763248/1261875720)</f>
        <v>9.403930726334579</v>
      </c>
      <c r="N235" s="15">
        <f t="shared" ref="N235" si="445">2.3/G235</f>
        <v>3.2998565279770443E-2</v>
      </c>
      <c r="O235" s="23" t="s">
        <v>22</v>
      </c>
      <c r="P235" s="23" t="s">
        <v>22</v>
      </c>
    </row>
    <row r="236" spans="1:16" ht="25.2" x14ac:dyDescent="0.25">
      <c r="A236" s="17">
        <v>46209</v>
      </c>
      <c r="B236" s="2" t="s">
        <v>13</v>
      </c>
      <c r="C236" s="11">
        <v>29</v>
      </c>
      <c r="D236" s="11">
        <v>36.299999999999997</v>
      </c>
      <c r="E236" s="11">
        <v>36.64</v>
      </c>
      <c r="F236" s="11">
        <v>35.6</v>
      </c>
      <c r="G236" s="11">
        <v>35.770000000000003</v>
      </c>
      <c r="H236" s="13">
        <f t="shared" si="61"/>
        <v>-1.4600550964187164E-2</v>
      </c>
      <c r="I236" s="14">
        <v>122351938</v>
      </c>
      <c r="J236" s="21">
        <f>I236/12223744857</f>
        <v>1.000936615017242E-2</v>
      </c>
      <c r="K236" s="14">
        <v>3386149</v>
      </c>
      <c r="L236" s="14">
        <f t="shared" ref="L236" si="446">G236*2868140263</f>
        <v>102593377207.51001</v>
      </c>
      <c r="M236" s="12">
        <f t="shared" ref="M236" si="447">G236/(11296540287/2868140263)</f>
        <v>9.0818405105476359</v>
      </c>
      <c r="N236" s="24">
        <f t="shared" ref="N236" si="448">3.9386289551/G236</f>
        <v>0.11010983939334637</v>
      </c>
      <c r="O236" s="23">
        <f t="shared" ref="O236" si="449">L236/16400290969</f>
        <v>6.2555827455398854</v>
      </c>
      <c r="P236" s="12">
        <f t="shared" ref="P236" si="450">G236/(47806568940/2868140263)</f>
        <v>2.1460100459472549</v>
      </c>
    </row>
    <row r="237" spans="1:16" ht="25.2" x14ac:dyDescent="0.25">
      <c r="A237" s="17">
        <v>46209</v>
      </c>
      <c r="B237" s="2" t="s">
        <v>14</v>
      </c>
      <c r="C237" s="11">
        <v>33</v>
      </c>
      <c r="D237" s="11">
        <v>69.7</v>
      </c>
      <c r="E237" s="11">
        <v>70.34</v>
      </c>
      <c r="F237" s="11">
        <v>69.27</v>
      </c>
      <c r="G237" s="11">
        <v>69.7</v>
      </c>
      <c r="H237" s="13">
        <f t="shared" si="61"/>
        <v>0</v>
      </c>
      <c r="I237" s="14">
        <v>96582429</v>
      </c>
      <c r="J237" s="21">
        <f>I237/12223744857</f>
        <v>7.9012144093216653E-3</v>
      </c>
      <c r="K237" s="14">
        <v>1384305</v>
      </c>
      <c r="L237" s="14">
        <f t="shared" ref="L237" si="451">G237*1261875720</f>
        <v>87952737684</v>
      </c>
      <c r="M237" s="12">
        <f t="shared" ref="M237" si="452">G237/(9352763248/1261875720)</f>
        <v>9.403930726334579</v>
      </c>
      <c r="N237" s="15">
        <f t="shared" ref="N237" si="453">2.3/G237</f>
        <v>3.2998565279770443E-2</v>
      </c>
      <c r="O237" s="23" t="s">
        <v>22</v>
      </c>
      <c r="P237" s="23" t="s">
        <v>22</v>
      </c>
    </row>
    <row r="238" spans="1:16" ht="25.2" x14ac:dyDescent="0.25">
      <c r="A238" s="17">
        <v>46210</v>
      </c>
      <c r="B238" s="2" t="s">
        <v>13</v>
      </c>
      <c r="C238" s="11">
        <v>29</v>
      </c>
      <c r="D238" s="11">
        <v>35.770000000000003</v>
      </c>
      <c r="E238" s="11">
        <v>35.950000000000003</v>
      </c>
      <c r="F238" s="11">
        <v>35.5</v>
      </c>
      <c r="G238" s="11">
        <v>35.69</v>
      </c>
      <c r="H238" s="13">
        <f t="shared" si="61"/>
        <v>-2.2365110427734246E-3</v>
      </c>
      <c r="I238" s="14">
        <v>98633971</v>
      </c>
      <c r="J238" s="21">
        <f>I238/12536257649</f>
        <v>7.8678959671723003E-3</v>
      </c>
      <c r="K238" s="14">
        <v>2761918</v>
      </c>
      <c r="L238" s="14">
        <f t="shared" ref="L238" si="454">G238*2868140263</f>
        <v>102363925986.46999</v>
      </c>
      <c r="M238" s="12">
        <f t="shared" ref="M238" si="455">G238/(11296540287/2868140263)</f>
        <v>9.0615288739570889</v>
      </c>
      <c r="N238" s="24">
        <f t="shared" ref="N238" si="456">3.9386289551/G238</f>
        <v>0.11035665326702158</v>
      </c>
      <c r="O238" s="23">
        <f t="shared" ref="O238" si="457">L238/16400290969</f>
        <v>6.2415920656505026</v>
      </c>
      <c r="P238" s="12">
        <f t="shared" ref="P238" si="458">G238/(47806568940/2868140263)</f>
        <v>2.1412104707815911</v>
      </c>
    </row>
    <row r="239" spans="1:16" ht="25.2" x14ac:dyDescent="0.25">
      <c r="A239" s="17">
        <v>46210</v>
      </c>
      <c r="B239" s="2" t="s">
        <v>14</v>
      </c>
      <c r="C239" s="11">
        <v>18</v>
      </c>
      <c r="D239" s="11">
        <v>69.7</v>
      </c>
      <c r="E239" s="11">
        <v>71</v>
      </c>
      <c r="F239" s="11">
        <v>69.52</v>
      </c>
      <c r="G239" s="11">
        <v>69.72</v>
      </c>
      <c r="H239" s="13">
        <f t="shared" si="61"/>
        <v>2.8694404591099026E-4</v>
      </c>
      <c r="I239" s="14">
        <v>170121280</v>
      </c>
      <c r="J239" s="21">
        <v>1.4999999999999999E-2</v>
      </c>
      <c r="K239" s="14">
        <v>2418900</v>
      </c>
      <c r="L239" s="14">
        <f t="shared" ref="L239" si="459">G239*1261875720</f>
        <v>87977975198.399994</v>
      </c>
      <c r="M239" s="12">
        <f t="shared" ref="M239" si="460">G239/(9352763248/1261875720)</f>
        <v>9.4066291282646599</v>
      </c>
      <c r="N239" s="15">
        <f t="shared" ref="N239" si="461">2.3/G239</f>
        <v>3.2989099254159493E-2</v>
      </c>
      <c r="O239" s="23" t="s">
        <v>22</v>
      </c>
      <c r="P239" s="23" t="s">
        <v>22</v>
      </c>
    </row>
    <row r="240" spans="1:16" ht="25.2" x14ac:dyDescent="0.25">
      <c r="A240" s="17">
        <v>46211</v>
      </c>
      <c r="B240" s="2" t="s">
        <v>13</v>
      </c>
      <c r="C240" s="11">
        <v>7</v>
      </c>
      <c r="D240" s="11">
        <v>35.69</v>
      </c>
      <c r="E240" s="11">
        <v>37.799999999999997</v>
      </c>
      <c r="F240" s="11">
        <v>35.89</v>
      </c>
      <c r="G240" s="11">
        <v>37.5</v>
      </c>
      <c r="H240" s="13">
        <f t="shared" si="61"/>
        <v>5.0714485850378327E-2</v>
      </c>
      <c r="I240" s="14">
        <v>249579442</v>
      </c>
      <c r="J240" s="20">
        <v>2.9000000000000001E-2</v>
      </c>
      <c r="K240" s="14">
        <v>6772717</v>
      </c>
      <c r="L240" s="14">
        <f t="shared" ref="L240" si="462">G240*2868140263</f>
        <v>107555259862.5</v>
      </c>
      <c r="M240" s="12">
        <f t="shared" ref="M240" si="463">G240/(11296540287/2868140263)</f>
        <v>9.5210796518181802</v>
      </c>
      <c r="N240" s="24">
        <f t="shared" ref="N240" si="464">3.9386289551/G240</f>
        <v>0.10503010546933333</v>
      </c>
      <c r="O240" s="23">
        <f t="shared" ref="O240" si="465">L240/16400290969</f>
        <v>6.5581311981477688</v>
      </c>
      <c r="P240" s="12">
        <f t="shared" ref="P240" si="466">G240/(47806568940/2868140263)</f>
        <v>2.249800858904726</v>
      </c>
    </row>
    <row r="241" spans="1:16" ht="25.2" x14ac:dyDescent="0.25">
      <c r="A241" s="17">
        <v>46211</v>
      </c>
      <c r="B241" s="2" t="s">
        <v>14</v>
      </c>
      <c r="C241" s="11">
        <v>3</v>
      </c>
      <c r="D241" s="11">
        <v>69.72</v>
      </c>
      <c r="E241" s="11">
        <v>71.75</v>
      </c>
      <c r="F241" s="11">
        <v>69.7</v>
      </c>
      <c r="G241" s="11">
        <v>71.3</v>
      </c>
      <c r="H241" s="13">
        <f t="shared" si="61"/>
        <v>2.2662076878944323E-2</v>
      </c>
      <c r="I241" s="14">
        <v>300660676</v>
      </c>
      <c r="J241" s="20">
        <v>3.5000000000000003E-2</v>
      </c>
      <c r="K241" s="14">
        <v>4243181</v>
      </c>
      <c r="L241" s="14">
        <f t="shared" ref="L241" si="467">G241*1261875720</f>
        <v>89971738836</v>
      </c>
      <c r="M241" s="12">
        <f t="shared" ref="M241" si="468">G241/(9352763248/1261875720)</f>
        <v>9.619802880741112</v>
      </c>
      <c r="N241" s="15">
        <f t="shared" ref="N241" si="469">2.3/G241</f>
        <v>3.2258064516129031E-2</v>
      </c>
      <c r="O241" s="23" t="s">
        <v>22</v>
      </c>
      <c r="P241" s="23" t="s">
        <v>22</v>
      </c>
    </row>
    <row r="242" spans="1:16" ht="25.2" x14ac:dyDescent="0.25">
      <c r="A242" s="17">
        <v>46212</v>
      </c>
      <c r="B242" s="2" t="s">
        <v>13</v>
      </c>
      <c r="C242" s="11">
        <v>20</v>
      </c>
      <c r="D242" s="11">
        <v>37.5</v>
      </c>
      <c r="E242" s="11">
        <v>37.880000000000003</v>
      </c>
      <c r="F242" s="11">
        <v>36.729999999999997</v>
      </c>
      <c r="G242" s="11">
        <v>36.9</v>
      </c>
      <c r="H242" s="13">
        <f t="shared" si="61"/>
        <v>-1.6000000000000038E-2</v>
      </c>
      <c r="I242" s="14">
        <v>120778006</v>
      </c>
      <c r="J242" s="21">
        <v>1.4E-2</v>
      </c>
      <c r="K242" s="14">
        <v>3238696</v>
      </c>
      <c r="L242" s="14">
        <f t="shared" ref="L242" si="470">G242*2868140263</f>
        <v>105834375704.7</v>
      </c>
      <c r="M242" s="12">
        <f t="shared" ref="M242" si="471">G242/(11296540287/2868140263)</f>
        <v>9.3687423773890899</v>
      </c>
      <c r="N242" s="24">
        <f t="shared" ref="N242" si="472">3.9386289551/G242</f>
        <v>0.10673791206233063</v>
      </c>
      <c r="O242" s="23">
        <f t="shared" ref="O242" si="473">L242/16400290969</f>
        <v>6.453201098977404</v>
      </c>
      <c r="P242" s="12">
        <f t="shared" ref="P242" si="474">G242/(47806568940/2868140263)</f>
        <v>2.2138040451622505</v>
      </c>
    </row>
    <row r="243" spans="1:16" ht="25.2" x14ac:dyDescent="0.25">
      <c r="A243" s="17">
        <v>46212</v>
      </c>
      <c r="B243" s="2" t="s">
        <v>14</v>
      </c>
      <c r="C243" s="11">
        <v>15</v>
      </c>
      <c r="D243" s="11">
        <v>71.3</v>
      </c>
      <c r="E243" s="11">
        <v>71.8</v>
      </c>
      <c r="F243" s="11">
        <v>69.77</v>
      </c>
      <c r="G243" s="11">
        <v>70.03</v>
      </c>
      <c r="H243" s="13">
        <f t="shared" si="61"/>
        <v>-1.781206171107989E-2</v>
      </c>
      <c r="I243" s="14">
        <v>155996021</v>
      </c>
      <c r="J243" s="21">
        <v>1.7999999999999999E-2</v>
      </c>
      <c r="K243" s="14">
        <v>2211253</v>
      </c>
      <c r="L243" s="14">
        <f t="shared" ref="L243" si="475">G243*1261875720</f>
        <v>88369156671.600006</v>
      </c>
      <c r="M243" s="12">
        <f t="shared" ref="M243" si="476">G243/(9352763248/1261875720)</f>
        <v>9.4484543581809266</v>
      </c>
      <c r="N243" s="15">
        <f t="shared" ref="N243" si="477">2.3/G243</f>
        <v>3.2843067256889902E-2</v>
      </c>
      <c r="O243" s="23" t="s">
        <v>22</v>
      </c>
      <c r="P243" s="23" t="s">
        <v>22</v>
      </c>
    </row>
    <row r="244" spans="1:16" ht="25.2" x14ac:dyDescent="0.25">
      <c r="A244" s="17">
        <v>46215</v>
      </c>
      <c r="B244" s="2" t="s">
        <v>13</v>
      </c>
      <c r="C244" s="11">
        <v>50</v>
      </c>
      <c r="D244" s="11">
        <v>36.9</v>
      </c>
      <c r="E244" s="11">
        <v>37.65</v>
      </c>
      <c r="F244" s="11">
        <v>37.049999999999997</v>
      </c>
      <c r="G244" s="11">
        <v>37.19</v>
      </c>
      <c r="H244" s="13">
        <f t="shared" si="61"/>
        <v>7.8590785907858857E-3</v>
      </c>
      <c r="I244" s="14">
        <v>52180681</v>
      </c>
      <c r="J244" s="21">
        <v>6.0000000000000001E-3</v>
      </c>
      <c r="K244" s="14">
        <v>1401198</v>
      </c>
      <c r="L244" s="14">
        <f t="shared" ref="L244" si="478">G244*2868140263</f>
        <v>106666136380.96999</v>
      </c>
      <c r="M244" s="12">
        <f t="shared" ref="M244" si="479">G244/(11296540287/2868140263)</f>
        <v>9.4423720600298164</v>
      </c>
      <c r="N244" s="24">
        <f t="shared" ref="N244" si="480">3.9386289551/G244</f>
        <v>0.10590559169400376</v>
      </c>
      <c r="O244" s="23">
        <f t="shared" ref="O244" si="481">L244/16400290969</f>
        <v>6.5039173135764132</v>
      </c>
      <c r="P244" s="12">
        <f t="shared" ref="P244" si="482">G244/(47806568940/2868140263)</f>
        <v>2.2312025051377802</v>
      </c>
    </row>
    <row r="245" spans="1:16" ht="25.2" x14ac:dyDescent="0.25">
      <c r="A245" s="17">
        <v>46215</v>
      </c>
      <c r="B245" s="2" t="s">
        <v>14</v>
      </c>
      <c r="C245" s="11">
        <v>26</v>
      </c>
      <c r="D245" s="11">
        <v>70.03</v>
      </c>
      <c r="E245" s="11">
        <v>71</v>
      </c>
      <c r="F245" s="11">
        <v>69.53</v>
      </c>
      <c r="G245" s="11">
        <v>69.599999999999994</v>
      </c>
      <c r="H245" s="13">
        <f t="shared" si="61"/>
        <v>-6.1402256175925578E-3</v>
      </c>
      <c r="I245" s="14">
        <v>99644865</v>
      </c>
      <c r="J245" s="21">
        <v>1.0999999999999999E-2</v>
      </c>
      <c r="K245" s="14">
        <v>1422900</v>
      </c>
      <c r="L245" s="14">
        <f t="shared" ref="L245" si="483">G245*1261875720</f>
        <v>87826550112</v>
      </c>
      <c r="M245" s="12">
        <f t="shared" ref="M245" si="484">G245/(9352763248/1261875720)</f>
        <v>9.3904387166841694</v>
      </c>
      <c r="N245" s="15">
        <f t="shared" ref="N245" si="485">2.3/G245</f>
        <v>3.3045977011494254E-2</v>
      </c>
      <c r="O245" s="23" t="s">
        <v>22</v>
      </c>
      <c r="P245" s="23" t="s">
        <v>22</v>
      </c>
    </row>
    <row r="246" spans="1:16" ht="25.2" x14ac:dyDescent="0.25">
      <c r="A246" s="17">
        <v>46216</v>
      </c>
      <c r="B246" s="2" t="s">
        <v>13</v>
      </c>
      <c r="C246" s="11">
        <v>50</v>
      </c>
      <c r="D246" s="11">
        <v>37.19</v>
      </c>
      <c r="E246" s="11">
        <v>37.5</v>
      </c>
      <c r="F246" s="11">
        <v>37.04</v>
      </c>
      <c r="G246" s="11">
        <v>37.1</v>
      </c>
      <c r="H246" s="13">
        <f t="shared" si="61"/>
        <v>-2.4200053777896293E-3</v>
      </c>
      <c r="I246" s="14">
        <v>54281393</v>
      </c>
      <c r="J246" s="21">
        <f>I246/9628194156</f>
        <v>5.637754299561302E-3</v>
      </c>
      <c r="K246" s="14">
        <v>1457444</v>
      </c>
      <c r="L246" s="14">
        <f t="shared" ref="L246" si="486">G246*2868140263</f>
        <v>106408003757.3</v>
      </c>
      <c r="M246" s="12">
        <f t="shared" ref="M246" si="487">G246/(11296540287/2868140263)</f>
        <v>9.4195214688654527</v>
      </c>
      <c r="N246" s="24">
        <f t="shared" ref="N246" si="488">3.9386289551/G246</f>
        <v>0.10616250552830188</v>
      </c>
      <c r="O246" s="23">
        <f t="shared" ref="O246" si="489">L246/16400290969</f>
        <v>6.4881777987008595</v>
      </c>
      <c r="P246" s="12">
        <f t="shared" ref="P246" si="490">G246/(47806568940/2868140263)</f>
        <v>2.225802983076409</v>
      </c>
    </row>
    <row r="247" spans="1:16" ht="25.2" x14ac:dyDescent="0.25">
      <c r="A247" s="17">
        <v>46216</v>
      </c>
      <c r="B247" s="2" t="s">
        <v>14</v>
      </c>
      <c r="C247" s="11">
        <v>19</v>
      </c>
      <c r="D247" s="11">
        <v>69.599999999999994</v>
      </c>
      <c r="E247" s="11">
        <v>70.3</v>
      </c>
      <c r="F247" s="11">
        <v>69.010000000000005</v>
      </c>
      <c r="G247" s="11">
        <v>69.05</v>
      </c>
      <c r="H247" s="13">
        <f t="shared" si="61"/>
        <v>-7.9022988505746718E-3</v>
      </c>
      <c r="I247" s="14">
        <v>112001018</v>
      </c>
      <c r="J247" s="21">
        <v>1.2999999999999999E-2</v>
      </c>
      <c r="K247" s="14">
        <v>1610005</v>
      </c>
      <c r="L247" s="14">
        <f t="shared" ref="L247" si="491">G247*1261875720</f>
        <v>87132518466</v>
      </c>
      <c r="M247" s="12">
        <f t="shared" ref="M247" si="492">G247/(9352763248/1261875720)</f>
        <v>9.3162326636069253</v>
      </c>
      <c r="N247" s="15">
        <f t="shared" ref="N247" si="493">2.3/G247</f>
        <v>3.3309196234612599E-2</v>
      </c>
      <c r="O247" s="23" t="s">
        <v>22</v>
      </c>
      <c r="P247" s="23" t="s">
        <v>22</v>
      </c>
    </row>
    <row r="248" spans="1:16" ht="25.2" x14ac:dyDescent="0.25">
      <c r="A248" s="17">
        <v>46217</v>
      </c>
      <c r="B248" s="2" t="s">
        <v>13</v>
      </c>
      <c r="C248" s="11">
        <v>5</v>
      </c>
      <c r="D248" s="11">
        <v>37.1</v>
      </c>
      <c r="E248" s="11">
        <v>38.6</v>
      </c>
      <c r="F248" s="11">
        <v>37.5</v>
      </c>
      <c r="G248" s="11">
        <v>38.6</v>
      </c>
      <c r="H248" s="13">
        <f t="shared" si="61"/>
        <v>4.0431266846361183E-2</v>
      </c>
      <c r="I248" s="14">
        <v>221722280</v>
      </c>
      <c r="J248" s="20">
        <v>2.3E-2</v>
      </c>
      <c r="K248" s="14">
        <v>5815056</v>
      </c>
      <c r="L248" s="14">
        <f t="shared" ref="L248" si="494">G248*2868140263</f>
        <v>110710214151.8</v>
      </c>
      <c r="M248" s="12">
        <f t="shared" ref="M248" si="495">G248/(11296540287/2868140263)</f>
        <v>9.8003646549381802</v>
      </c>
      <c r="N248" s="24">
        <f t="shared" ref="N248" si="496">3.9386289551/G248</f>
        <v>0.10203701956217616</v>
      </c>
      <c r="O248" s="23">
        <f t="shared" ref="O248" si="497">L248/16400290969</f>
        <v>6.7505030466267701</v>
      </c>
      <c r="P248" s="12">
        <f t="shared" ref="P248" si="498">G248/(47806568940/2868140263)</f>
        <v>2.3157950174325981</v>
      </c>
    </row>
    <row r="249" spans="1:16" ht="25.2" x14ac:dyDescent="0.25">
      <c r="A249" s="17">
        <v>46217</v>
      </c>
      <c r="B249" s="2" t="s">
        <v>14</v>
      </c>
      <c r="C249" s="11">
        <v>1</v>
      </c>
      <c r="D249" s="11">
        <v>69.05</v>
      </c>
      <c r="E249" s="11">
        <v>73.39</v>
      </c>
      <c r="F249" s="11">
        <v>69.88</v>
      </c>
      <c r="G249" s="11">
        <v>73.31</v>
      </c>
      <c r="H249" s="13">
        <f t="shared" si="61"/>
        <v>6.1694424330195584E-2</v>
      </c>
      <c r="I249" s="14">
        <v>474510632</v>
      </c>
      <c r="J249" s="20">
        <v>4.9000000000000002E-2</v>
      </c>
      <c r="K249" s="14">
        <v>6632099</v>
      </c>
      <c r="L249" s="14">
        <f t="shared" ref="L249" si="499">G249*1261875720</f>
        <v>92508109033.199997</v>
      </c>
      <c r="M249" s="12">
        <f t="shared" ref="M249" si="500">G249/(9352763248/1261875720)</f>
        <v>9.8909922747143195</v>
      </c>
      <c r="N249" s="15">
        <f t="shared" ref="N249" si="501">2.3/G249</f>
        <v>3.137361887873414E-2</v>
      </c>
      <c r="O249" s="23" t="s">
        <v>22</v>
      </c>
      <c r="P249" s="23" t="s">
        <v>22</v>
      </c>
    </row>
    <row r="250" spans="1:16" ht="25.2" x14ac:dyDescent="0.25">
      <c r="A250" s="17">
        <v>46218</v>
      </c>
      <c r="B250" s="2" t="s">
        <v>13</v>
      </c>
      <c r="C250" s="11">
        <v>37</v>
      </c>
      <c r="D250" s="11">
        <v>38.6</v>
      </c>
      <c r="E250" s="11">
        <v>38.69</v>
      </c>
      <c r="F250" s="11">
        <v>37.799999999999997</v>
      </c>
      <c r="G250" s="11">
        <v>38</v>
      </c>
      <c r="H250" s="13">
        <f t="shared" si="61"/>
        <v>-1.5544041450777238E-2</v>
      </c>
      <c r="I250" s="14">
        <v>97498431</v>
      </c>
      <c r="J250" s="21">
        <v>8.9999999999999993E-3</v>
      </c>
      <c r="K250" s="14">
        <v>2562421</v>
      </c>
      <c r="L250" s="14">
        <f t="shared" ref="L250" si="502">G250*2868140263</f>
        <v>108989329994</v>
      </c>
      <c r="M250" s="12">
        <f t="shared" ref="M250" si="503">G250/(11296540287/2868140263)</f>
        <v>9.6480273805090899</v>
      </c>
      <c r="N250" s="25">
        <v>0.1037</v>
      </c>
      <c r="O250" s="23">
        <f t="shared" ref="O250" si="504">L250/16400290969</f>
        <v>6.6455729474564054</v>
      </c>
      <c r="P250" s="12">
        <f t="shared" ref="P250" si="505">G250/(47806568940/2868140263)</f>
        <v>2.2797982036901225</v>
      </c>
    </row>
    <row r="251" spans="1:16" ht="25.2" x14ac:dyDescent="0.25">
      <c r="A251" s="17">
        <v>46218</v>
      </c>
      <c r="B251" s="2" t="s">
        <v>14</v>
      </c>
      <c r="C251" s="11">
        <v>10</v>
      </c>
      <c r="D251" s="11">
        <v>73.31</v>
      </c>
      <c r="E251" s="11">
        <v>73.75</v>
      </c>
      <c r="F251" s="11">
        <v>72</v>
      </c>
      <c r="G251" s="11">
        <v>72</v>
      </c>
      <c r="H251" s="13">
        <f t="shared" si="61"/>
        <v>-1.7869322057018171E-2</v>
      </c>
      <c r="I251" s="14">
        <v>244438402</v>
      </c>
      <c r="J251" s="21">
        <v>2.1999999999999999E-2</v>
      </c>
      <c r="K251" s="14">
        <v>3372265</v>
      </c>
      <c r="L251" s="14">
        <f t="shared" ref="L251" si="506">G251*1261875720</f>
        <v>90855051840</v>
      </c>
      <c r="M251" s="12">
        <f t="shared" ref="M251" si="507">G251/(9352763248/1261875720)</f>
        <v>9.7142469482939706</v>
      </c>
      <c r="N251" s="15">
        <f t="shared" ref="N251" si="508">2.3/G251</f>
        <v>3.1944444444444442E-2</v>
      </c>
      <c r="O251" s="23" t="s">
        <v>22</v>
      </c>
      <c r="P251" s="23" t="s">
        <v>22</v>
      </c>
    </row>
    <row r="252" spans="1:16" ht="25.2" x14ac:dyDescent="0.25">
      <c r="A252" s="17">
        <v>46219</v>
      </c>
      <c r="B252" s="2" t="s">
        <v>13</v>
      </c>
      <c r="C252" s="11">
        <v>56</v>
      </c>
      <c r="D252" s="11">
        <v>38</v>
      </c>
      <c r="E252" s="11">
        <v>38.200000000000003</v>
      </c>
      <c r="F252" s="11">
        <v>37.61</v>
      </c>
      <c r="G252" s="11">
        <v>37.799999999999997</v>
      </c>
      <c r="H252" s="13">
        <f t="shared" si="61"/>
        <v>-5.2631578947369166E-3</v>
      </c>
      <c r="I252" s="14">
        <v>54537765</v>
      </c>
      <c r="J252" s="21">
        <f>I252/11960788286</f>
        <v>4.5597132643703745E-3</v>
      </c>
      <c r="K252" s="14">
        <v>1440323</v>
      </c>
      <c r="L252" s="14">
        <f t="shared" ref="L252" si="509">G252*2868140263</f>
        <v>108415701941.39999</v>
      </c>
      <c r="M252" s="12">
        <f t="shared" ref="M252" si="510">G252/(11296540287/2868140263)</f>
        <v>9.5972482890327253</v>
      </c>
      <c r="N252" s="24">
        <f t="shared" ref="N252" si="511">3.9386289551/G252</f>
        <v>0.10419653320370371</v>
      </c>
      <c r="O252" s="23">
        <f t="shared" ref="O252" si="512">L252/16400290969</f>
        <v>6.6105962477329507</v>
      </c>
      <c r="P252" s="12">
        <f t="shared" ref="P252" si="513">G252/(47806568940/2868140263)</f>
        <v>2.2677992657759636</v>
      </c>
    </row>
    <row r="253" spans="1:16" ht="25.2" x14ac:dyDescent="0.25">
      <c r="A253" s="17">
        <v>46219</v>
      </c>
      <c r="B253" s="2" t="s">
        <v>14</v>
      </c>
      <c r="C253" s="11">
        <v>13</v>
      </c>
      <c r="D253" s="11">
        <v>72</v>
      </c>
      <c r="E253" s="11">
        <v>73.7</v>
      </c>
      <c r="F253" s="11">
        <v>71.81</v>
      </c>
      <c r="G253" s="11">
        <v>73.7</v>
      </c>
      <c r="H253" s="13">
        <f t="shared" si="61"/>
        <v>2.3611111111111152E-2</v>
      </c>
      <c r="I253" s="14">
        <v>198951463</v>
      </c>
      <c r="J253" s="21">
        <v>1.7999999999999999E-2</v>
      </c>
      <c r="K253" s="14">
        <v>2725597</v>
      </c>
      <c r="L253" s="14">
        <f t="shared" ref="L253" si="514">G253*1261875720</f>
        <v>93000240564</v>
      </c>
      <c r="M253" s="12">
        <f t="shared" ref="M253" si="515">G253/(9352763248/1261875720)</f>
        <v>9.9436111123509114</v>
      </c>
      <c r="N253" s="15">
        <f t="shared" ref="N253" si="516">2.3/G253</f>
        <v>3.1207598371777473E-2</v>
      </c>
      <c r="O253" s="23" t="s">
        <v>22</v>
      </c>
      <c r="P253" s="23" t="s">
        <v>22</v>
      </c>
    </row>
    <row r="254" spans="1:16" ht="25.2" x14ac:dyDescent="0.25">
      <c r="A254" s="17">
        <v>46222</v>
      </c>
      <c r="B254" s="2" t="s">
        <v>13</v>
      </c>
      <c r="C254" s="11">
        <v>48</v>
      </c>
      <c r="D254" s="11">
        <v>37.799999999999997</v>
      </c>
      <c r="E254" s="11">
        <v>38.799999999999997</v>
      </c>
      <c r="F254" s="11">
        <v>38.15</v>
      </c>
      <c r="G254" s="11">
        <v>38.380000000000003</v>
      </c>
      <c r="H254" s="13">
        <f t="shared" si="61"/>
        <v>1.5343915343915488E-2</v>
      </c>
      <c r="I254" s="14">
        <v>65411560</v>
      </c>
      <c r="J254" s="21">
        <v>7.0000000000000001E-3</v>
      </c>
      <c r="K254" s="14">
        <v>1701921</v>
      </c>
      <c r="L254" s="14">
        <f t="shared" ref="L254" si="517">G254*2868140263</f>
        <v>110079223293.94</v>
      </c>
      <c r="M254" s="12">
        <f t="shared" ref="M254" si="518">G254/(11296540287/2868140263)</f>
        <v>9.7445076543141802</v>
      </c>
      <c r="N254" s="24">
        <f t="shared" ref="N254" si="519">3.9386289551/G254</f>
        <v>0.10262191128452318</v>
      </c>
      <c r="O254" s="23">
        <f t="shared" ref="O254" si="520">L254/16400290969</f>
        <v>6.7120286769309701</v>
      </c>
      <c r="P254" s="12">
        <f t="shared" ref="P254" si="521">G254/(47806568940/2868140263)</f>
        <v>2.3025961857270238</v>
      </c>
    </row>
    <row r="255" spans="1:16" ht="25.2" x14ac:dyDescent="0.25">
      <c r="A255" s="17">
        <v>46222</v>
      </c>
      <c r="B255" s="2" t="s">
        <v>14</v>
      </c>
      <c r="C255" s="11">
        <v>10</v>
      </c>
      <c r="D255" s="11">
        <v>73.7</v>
      </c>
      <c r="E255" s="11">
        <v>75.59</v>
      </c>
      <c r="F255" s="11">
        <v>74.010000000000005</v>
      </c>
      <c r="G255" s="11">
        <v>74.61</v>
      </c>
      <c r="H255" s="13">
        <f t="shared" si="61"/>
        <v>1.2347354138398868E-2</v>
      </c>
      <c r="I255" s="14">
        <v>185419932</v>
      </c>
      <c r="J255" s="21">
        <v>1.9E-2</v>
      </c>
      <c r="K255" s="14">
        <v>2474822</v>
      </c>
      <c r="L255" s="14">
        <f t="shared" ref="L255" si="522">G255*1261875720</f>
        <v>94148547469.199997</v>
      </c>
      <c r="M255" s="12">
        <f t="shared" ref="M255" si="523">G255/(9352763248/1261875720)</f>
        <v>10.066388400169625</v>
      </c>
      <c r="N255" s="15">
        <f t="shared" ref="N255" si="524">2.3/G255</f>
        <v>3.0826966894518158E-2</v>
      </c>
      <c r="O255" s="23" t="s">
        <v>22</v>
      </c>
      <c r="P255" s="23" t="s">
        <v>22</v>
      </c>
    </row>
    <row r="256" spans="1:16" ht="25.2" x14ac:dyDescent="0.25">
      <c r="A256" s="17">
        <v>46223</v>
      </c>
      <c r="B256" s="2" t="s">
        <v>13</v>
      </c>
      <c r="C256" s="11">
        <v>65</v>
      </c>
      <c r="D256" s="11">
        <v>38.380000000000003</v>
      </c>
      <c r="E256" s="11">
        <v>38.5</v>
      </c>
      <c r="F256" s="11">
        <v>37.799999999999997</v>
      </c>
      <c r="G256" s="11">
        <v>37.9</v>
      </c>
      <c r="H256" s="13">
        <f t="shared" si="61"/>
        <v>-1.2506513809275767E-2</v>
      </c>
      <c r="I256" s="14">
        <v>54351415</v>
      </c>
      <c r="J256" s="21">
        <v>5.0000000000000001E-3</v>
      </c>
      <c r="K256" s="14">
        <v>1426507</v>
      </c>
      <c r="L256" s="14">
        <f t="shared" ref="L256" si="525">G256*2868140263</f>
        <v>108702515967.7</v>
      </c>
      <c r="M256" s="12">
        <f t="shared" ref="M256" si="526">G256/(11296540287/2868140263)</f>
        <v>9.6226378347709076</v>
      </c>
      <c r="N256" s="24">
        <f t="shared" ref="N256" si="527">3.9386289551/G256</f>
        <v>0.10392160831398417</v>
      </c>
      <c r="O256" s="23">
        <f t="shared" ref="O256" si="528">L256/16400290969</f>
        <v>6.6280845975946781</v>
      </c>
      <c r="P256" s="12">
        <f t="shared" ref="P256" si="529">G256/(47806568940/2868140263)</f>
        <v>2.2737987347330431</v>
      </c>
    </row>
    <row r="257" spans="1:16" ht="25.2" x14ac:dyDescent="0.25">
      <c r="A257" s="17">
        <v>46223</v>
      </c>
      <c r="B257" s="2" t="s">
        <v>14</v>
      </c>
      <c r="C257" s="11">
        <v>22</v>
      </c>
      <c r="D257" s="11">
        <v>74.61</v>
      </c>
      <c r="E257" s="11">
        <v>74.989999999999995</v>
      </c>
      <c r="F257" s="11">
        <v>72.73</v>
      </c>
      <c r="G257" s="11">
        <v>72.89</v>
      </c>
      <c r="H257" s="13">
        <f t="shared" si="61"/>
        <v>-2.3053210025465742E-2</v>
      </c>
      <c r="I257" s="14">
        <v>136815644</v>
      </c>
      <c r="J257" s="21">
        <v>1.2E-2</v>
      </c>
      <c r="K257" s="14">
        <v>1855072</v>
      </c>
      <c r="L257" s="14">
        <f t="shared" ref="L257" si="530">G257*1261875720</f>
        <v>91978121230.800003</v>
      </c>
      <c r="M257" s="12">
        <f t="shared" ref="M257" si="531">G257/(9352763248/1261875720)</f>
        <v>9.8343258341826036</v>
      </c>
      <c r="N257" s="15">
        <f t="shared" ref="N257" si="532">2.3/G257</f>
        <v>3.1554397036630537E-2</v>
      </c>
      <c r="O257" s="23" t="s">
        <v>22</v>
      </c>
      <c r="P257" s="23" t="s">
        <v>22</v>
      </c>
    </row>
    <row r="258" spans="1:16" ht="25.2" x14ac:dyDescent="0.25">
      <c r="A258" s="17">
        <v>46224</v>
      </c>
      <c r="B258" s="2" t="s">
        <v>13</v>
      </c>
      <c r="C258" s="11">
        <v>80</v>
      </c>
      <c r="D258" s="11">
        <v>37.9</v>
      </c>
      <c r="E258" s="11">
        <v>37.94</v>
      </c>
      <c r="F258" s="11">
        <v>37.42</v>
      </c>
      <c r="G258" s="11">
        <v>37.65</v>
      </c>
      <c r="H258" s="13">
        <f t="shared" si="61"/>
        <v>-6.5963060686015833E-3</v>
      </c>
      <c r="I258" s="14">
        <v>39290979</v>
      </c>
      <c r="J258" s="21">
        <f>I258/13179756542</f>
        <v>2.9811612130156749E-3</v>
      </c>
      <c r="K258" s="14">
        <v>1044411</v>
      </c>
      <c r="L258" s="14">
        <f t="shared" ref="L258" si="533">G258*2868140263</f>
        <v>107985480901.95</v>
      </c>
      <c r="M258" s="12">
        <f t="shared" ref="M258" si="534">G258/(11296540287/2868140263)</f>
        <v>9.5591639704254519</v>
      </c>
      <c r="N258" s="24">
        <f t="shared" ref="N258" si="535">3.9386289551/G258</f>
        <v>0.10461165883399735</v>
      </c>
      <c r="O258" s="23">
        <f t="shared" ref="O258" si="536">L258/16400290969</f>
        <v>6.5843637229403598</v>
      </c>
      <c r="P258" s="12">
        <f t="shared" ref="P258" si="537">G258/(47806568940/2868140263)</f>
        <v>2.2588000623403448</v>
      </c>
    </row>
    <row r="259" spans="1:16" ht="25.2" x14ac:dyDescent="0.25">
      <c r="A259" s="17">
        <v>46224</v>
      </c>
      <c r="B259" s="2" t="s">
        <v>14</v>
      </c>
      <c r="C259" s="11">
        <v>41</v>
      </c>
      <c r="D259" s="11">
        <v>72.89</v>
      </c>
      <c r="E259" s="11">
        <v>72.989999999999995</v>
      </c>
      <c r="F259" s="11">
        <v>71</v>
      </c>
      <c r="G259" s="11">
        <v>72.87</v>
      </c>
      <c r="H259" s="13">
        <f t="shared" si="61"/>
        <v>-2.7438606118803706E-4</v>
      </c>
      <c r="I259" s="14">
        <v>86261926</v>
      </c>
      <c r="J259" s="21">
        <f>I259/13179756542</f>
        <v>6.5450318240028683E-3</v>
      </c>
      <c r="K259" s="14">
        <v>1197152</v>
      </c>
      <c r="L259" s="14">
        <f t="shared" ref="L259" si="538">G259*1261875720</f>
        <v>91952883716.400009</v>
      </c>
      <c r="M259" s="12">
        <f t="shared" ref="M259" si="539">G259/(9352763248/1261875720)</f>
        <v>9.8316274322525228</v>
      </c>
      <c r="N259" s="15">
        <f t="shared" ref="N259" si="540">2.3/G259</f>
        <v>3.1563057499656919E-2</v>
      </c>
      <c r="O259" s="23" t="s">
        <v>22</v>
      </c>
      <c r="P259" s="23" t="s">
        <v>22</v>
      </c>
    </row>
    <row r="260" spans="1:16" ht="25.2" x14ac:dyDescent="0.25">
      <c r="A260" s="17">
        <v>46225</v>
      </c>
      <c r="B260" s="2" t="s">
        <v>13</v>
      </c>
      <c r="C260" s="11">
        <v>45</v>
      </c>
      <c r="D260" s="11">
        <v>37.65</v>
      </c>
      <c r="E260" s="11">
        <v>37.85</v>
      </c>
      <c r="F260" s="11">
        <v>36.380000000000003</v>
      </c>
      <c r="G260" s="11">
        <v>37.22</v>
      </c>
      <c r="H260" s="13">
        <f t="shared" si="61"/>
        <v>-1.1420982735723765E-2</v>
      </c>
      <c r="I260" s="14">
        <v>74164967</v>
      </c>
      <c r="J260" s="21">
        <v>7.0000000000000001E-3</v>
      </c>
      <c r="K260" s="14">
        <v>1977143</v>
      </c>
      <c r="L260" s="14">
        <f t="shared" ref="L260" si="541">G260*2868140263</f>
        <v>106752180588.86</v>
      </c>
      <c r="M260" s="12">
        <f t="shared" ref="M260" si="542">G260/(11296540287/2868140263)</f>
        <v>9.4499889237512704</v>
      </c>
      <c r="N260" s="24">
        <f t="shared" ref="N260" si="543">3.9386289551/G260</f>
        <v>0.10582022985222998</v>
      </c>
      <c r="O260" s="23">
        <f t="shared" ref="O260" si="544">L260/16400290969</f>
        <v>6.5091638185349323</v>
      </c>
      <c r="P260" s="12">
        <f t="shared" ref="P260" si="545">G260/(47806568940/2868140263)</f>
        <v>2.2330023458249042</v>
      </c>
    </row>
    <row r="261" spans="1:16" ht="25.2" x14ac:dyDescent="0.25">
      <c r="A261" s="17">
        <v>46225</v>
      </c>
      <c r="B261" s="2" t="s">
        <v>14</v>
      </c>
      <c r="C261" s="11">
        <v>36</v>
      </c>
      <c r="D261" s="11">
        <v>72.87</v>
      </c>
      <c r="E261" s="11">
        <v>73.95</v>
      </c>
      <c r="F261" s="11">
        <v>71.8</v>
      </c>
      <c r="G261" s="11">
        <v>72.3</v>
      </c>
      <c r="H261" s="13">
        <f t="shared" si="61"/>
        <v>-7.8221490325237741E-3</v>
      </c>
      <c r="I261" s="14">
        <v>92356103</v>
      </c>
      <c r="J261" s="20">
        <v>8.9999999999999993E-3</v>
      </c>
      <c r="K261" s="14">
        <v>1267328</v>
      </c>
      <c r="L261" s="14">
        <f t="shared" ref="L261" si="546">G261*1261875720</f>
        <v>91233614556</v>
      </c>
      <c r="M261" s="12">
        <f t="shared" ref="M261" si="547">G261/(9352763248/1261875720)</f>
        <v>9.7547229772451942</v>
      </c>
      <c r="N261" s="15">
        <f t="shared" ref="N261" si="548">2.3/G261</f>
        <v>3.18118948824343E-2</v>
      </c>
      <c r="O261" s="23" t="s">
        <v>22</v>
      </c>
      <c r="P261" s="23" t="s">
        <v>22</v>
      </c>
    </row>
    <row r="262" spans="1:16" ht="25.2" x14ac:dyDescent="0.25">
      <c r="A262" s="17">
        <v>46229</v>
      </c>
      <c r="B262" s="2" t="s">
        <v>13</v>
      </c>
      <c r="C262" s="11">
        <v>6</v>
      </c>
      <c r="D262" s="11">
        <v>37.22</v>
      </c>
      <c r="E262" s="11">
        <v>37.29</v>
      </c>
      <c r="F262" s="11">
        <v>36.5</v>
      </c>
      <c r="G262" s="11">
        <v>36.75</v>
      </c>
      <c r="H262" s="13">
        <f t="shared" si="61"/>
        <v>-1.2627619559376649E-2</v>
      </c>
      <c r="I262" s="14">
        <v>193518122</v>
      </c>
      <c r="J262" s="20">
        <v>2.1999999999999999E-2</v>
      </c>
      <c r="K262" s="14">
        <v>5265648</v>
      </c>
      <c r="L262" s="14">
        <f t="shared" ref="L262" si="549">G262*2868140263</f>
        <v>105404154665.25</v>
      </c>
      <c r="M262" s="12">
        <f t="shared" ref="M262" si="550">G262/(11296540287/2868140263)</f>
        <v>9.3306580587818164</v>
      </c>
      <c r="N262" s="24">
        <f t="shared" ref="N262" si="551">3.9386289551/G262</f>
        <v>0.1071735770095238</v>
      </c>
      <c r="O262" s="23">
        <f t="shared" ref="O262" si="552">L262/16400290969</f>
        <v>6.426968574184813</v>
      </c>
      <c r="P262" s="12">
        <f t="shared" ref="P262" si="553">G262/(47806568940/2868140263)</f>
        <v>2.2048048417266317</v>
      </c>
    </row>
    <row r="263" spans="1:16" ht="25.2" x14ac:dyDescent="0.25">
      <c r="A263" s="17">
        <v>46229</v>
      </c>
      <c r="B263" s="2" t="s">
        <v>14</v>
      </c>
      <c r="C263" s="11">
        <v>3</v>
      </c>
      <c r="D263" s="11">
        <v>72.3</v>
      </c>
      <c r="E263" s="11">
        <v>72.900000000000006</v>
      </c>
      <c r="F263" s="11">
        <v>70.709999999999994</v>
      </c>
      <c r="G263" s="11">
        <v>70.88</v>
      </c>
      <c r="H263" s="13">
        <f t="shared" si="61"/>
        <v>-1.9640387275242071E-2</v>
      </c>
      <c r="I263" s="14">
        <v>238432305</v>
      </c>
      <c r="J263" s="20">
        <v>2.7E-2</v>
      </c>
      <c r="K263" s="14">
        <v>3336318</v>
      </c>
      <c r="L263" s="14">
        <f t="shared" ref="L263" si="554">G263*1261875720</f>
        <v>89441751033.599991</v>
      </c>
      <c r="M263" s="12">
        <f t="shared" ref="M263" si="555">G263/(9352763248/1261875720)</f>
        <v>9.5631364402093961</v>
      </c>
      <c r="N263" s="15">
        <f t="shared" ref="N263" si="556">2.3/G263</f>
        <v>3.2449209932279913E-2</v>
      </c>
      <c r="O263" s="23" t="s">
        <v>22</v>
      </c>
      <c r="P263" s="23" t="s">
        <v>22</v>
      </c>
    </row>
    <row r="264" spans="1:16" ht="25.2" x14ac:dyDescent="0.25">
      <c r="A264" s="17">
        <v>46230</v>
      </c>
      <c r="B264" s="2" t="s">
        <v>13</v>
      </c>
      <c r="C264" s="11">
        <v>47</v>
      </c>
      <c r="D264" s="11">
        <v>36.75</v>
      </c>
      <c r="E264" s="11">
        <v>36.75</v>
      </c>
      <c r="F264" s="11">
        <v>36.299999999999997</v>
      </c>
      <c r="G264" s="11">
        <v>36.5</v>
      </c>
      <c r="H264" s="13">
        <f t="shared" si="61"/>
        <v>-6.8027210884353739E-3</v>
      </c>
      <c r="I264" s="14">
        <v>62087072</v>
      </c>
      <c r="J264" s="21">
        <f>I264/11130049553</f>
        <v>5.578328443584064E-3</v>
      </c>
      <c r="K264" s="14">
        <v>1700478</v>
      </c>
      <c r="L264" s="14">
        <f t="shared" ref="L264" si="557">G264*2868140263</f>
        <v>104687119599.5</v>
      </c>
      <c r="M264" s="12">
        <f t="shared" ref="M264" si="558">G264/(11296540287/2868140263)</f>
        <v>9.2671841944363624</v>
      </c>
      <c r="N264" s="24">
        <f t="shared" ref="N264" si="559">3.9386289551/G264</f>
        <v>0.10790764260547946</v>
      </c>
      <c r="O264" s="23">
        <f t="shared" ref="O264" si="560">L264/16400290969</f>
        <v>6.3832476995304948</v>
      </c>
      <c r="P264" s="12">
        <f t="shared" ref="P264" si="561">G264/(47806568940/2868140263)</f>
        <v>2.1898061693339335</v>
      </c>
    </row>
    <row r="265" spans="1:16" ht="25.2" x14ac:dyDescent="0.25">
      <c r="A265" s="17">
        <v>46230</v>
      </c>
      <c r="B265" s="2" t="s">
        <v>14</v>
      </c>
      <c r="C265" s="11">
        <v>45</v>
      </c>
      <c r="D265" s="11">
        <v>70.88</v>
      </c>
      <c r="E265" s="11">
        <v>71.900000000000006</v>
      </c>
      <c r="F265" s="11">
        <v>70.599999999999994</v>
      </c>
      <c r="G265" s="11">
        <v>71.45</v>
      </c>
      <c r="H265" s="13">
        <f t="shared" si="61"/>
        <v>8.0417607223477339E-3</v>
      </c>
      <c r="I265" s="14">
        <v>67486560</v>
      </c>
      <c r="J265" s="21">
        <v>7.0000000000000001E-3</v>
      </c>
      <c r="K265" s="14">
        <v>946581</v>
      </c>
      <c r="L265" s="14">
        <f t="shared" ref="L265" si="562">G265*1261875720</f>
        <v>90161020194</v>
      </c>
      <c r="M265" s="12">
        <f t="shared" ref="M265" si="563">G265/(9352763248/1261875720)</f>
        <v>9.6400408952167247</v>
      </c>
      <c r="N265" s="15">
        <f t="shared" ref="N265" si="564">2.3/G265</f>
        <v>3.2190342897130859E-2</v>
      </c>
      <c r="O265" s="23" t="s">
        <v>22</v>
      </c>
      <c r="P265" s="23" t="s">
        <v>22</v>
      </c>
    </row>
    <row r="266" spans="1:16" ht="25.2" x14ac:dyDescent="0.25">
      <c r="A266" s="17">
        <v>46231</v>
      </c>
      <c r="B266" s="2" t="s">
        <v>13</v>
      </c>
      <c r="C266" s="11">
        <v>94</v>
      </c>
      <c r="D266" s="11">
        <v>36.5</v>
      </c>
      <c r="E266" s="11">
        <v>36.75</v>
      </c>
      <c r="F266" s="11">
        <v>36.5</v>
      </c>
      <c r="G266" s="11">
        <v>36.549999999999997</v>
      </c>
      <c r="H266" s="13">
        <f t="shared" si="61"/>
        <v>1.3698630136985523E-3</v>
      </c>
      <c r="I266" s="14">
        <v>28264437</v>
      </c>
      <c r="J266" s="21">
        <f>I266/11101088237</f>
        <v>2.5460960580237931E-3</v>
      </c>
      <c r="K266" s="14">
        <v>772359</v>
      </c>
      <c r="L266" s="14">
        <f t="shared" ref="L266" si="565">G266*2868140263</f>
        <v>104830526612.64999</v>
      </c>
      <c r="M266" s="12">
        <f t="shared" ref="M266" si="566">G266/(11296540287/2868140263)</f>
        <v>9.2798789673054518</v>
      </c>
      <c r="N266" s="24">
        <f t="shared" ref="N266" si="567">3.9386289551/G266</f>
        <v>0.10776002613132696</v>
      </c>
      <c r="O266" s="23">
        <f t="shared" ref="O266" si="568">L266/16400290969</f>
        <v>6.3919918744613584</v>
      </c>
      <c r="P266" s="12">
        <f t="shared" ref="P266" si="569">G266/(47806568940/2868140263)</f>
        <v>2.1928059038124728</v>
      </c>
    </row>
    <row r="267" spans="1:16" ht="25.2" x14ac:dyDescent="0.25">
      <c r="A267" s="17">
        <v>46231</v>
      </c>
      <c r="B267" s="2" t="s">
        <v>14</v>
      </c>
      <c r="C267" s="11">
        <v>45</v>
      </c>
      <c r="D267" s="11">
        <v>71.45</v>
      </c>
      <c r="E267" s="11">
        <v>72.290000000000006</v>
      </c>
      <c r="F267" s="11">
        <v>70.88</v>
      </c>
      <c r="G267" s="11">
        <v>71.52</v>
      </c>
      <c r="H267" s="13">
        <f t="shared" si="61"/>
        <v>9.7970608817345237E-4</v>
      </c>
      <c r="I267" s="14">
        <v>69955045</v>
      </c>
      <c r="J267" s="21">
        <v>7.0000000000000001E-3</v>
      </c>
      <c r="K267" s="14">
        <v>978286</v>
      </c>
      <c r="L267" s="14">
        <f t="shared" ref="L267" si="570">G267*1261875720</f>
        <v>90249351494.399994</v>
      </c>
      <c r="M267" s="12">
        <f t="shared" ref="M267" si="571">G267/(9352763248/1261875720)</f>
        <v>9.6494853019720086</v>
      </c>
      <c r="N267" s="15">
        <f t="shared" ref="N267" si="572">2.3/G267</f>
        <v>3.2158836689038031E-2</v>
      </c>
      <c r="O267" s="23" t="s">
        <v>22</v>
      </c>
      <c r="P267" s="23" t="s">
        <v>22</v>
      </c>
    </row>
    <row r="268" spans="1:16" ht="25.2" x14ac:dyDescent="0.25">
      <c r="A268" s="17">
        <v>46232</v>
      </c>
      <c r="B268" s="2" t="s">
        <v>13</v>
      </c>
      <c r="C268" s="11">
        <v>93</v>
      </c>
      <c r="D268" s="11">
        <v>36.549999999999997</v>
      </c>
      <c r="E268" s="11">
        <v>36.880000000000003</v>
      </c>
      <c r="F268" s="11">
        <v>36.51</v>
      </c>
      <c r="G268" s="11">
        <v>36.619999999999997</v>
      </c>
      <c r="H268" s="13">
        <f t="shared" si="61"/>
        <v>1.9151846785225798E-3</v>
      </c>
      <c r="I268" s="14">
        <v>28536315</v>
      </c>
      <c r="J268" s="21">
        <f>I268/10963189245</f>
        <v>2.6029209532266902E-3</v>
      </c>
      <c r="K268" s="14">
        <v>778589</v>
      </c>
      <c r="L268" s="14">
        <f t="shared" ref="L268" si="573">G268*2868140263</f>
        <v>105031296431.06</v>
      </c>
      <c r="M268" s="12">
        <f t="shared" ref="M268" si="574">G268/(11296540287/2868140263)</f>
        <v>9.2976516493221801</v>
      </c>
      <c r="N268" s="24">
        <f t="shared" ref="N268" si="575">3.9386289551/G268</f>
        <v>0.10755404028126707</v>
      </c>
      <c r="O268" s="23">
        <f t="shared" ref="O268" si="576">L268/16400290969</f>
        <v>6.4042337193645675</v>
      </c>
      <c r="P268" s="12">
        <f t="shared" ref="P268" si="577">G268/(47806568940/2868140263)</f>
        <v>2.1970055320824282</v>
      </c>
    </row>
    <row r="269" spans="1:16" ht="25.2" x14ac:dyDescent="0.25">
      <c r="A269" s="17">
        <v>46232</v>
      </c>
      <c r="B269" s="2" t="s">
        <v>14</v>
      </c>
      <c r="C269" s="11">
        <v>86</v>
      </c>
      <c r="D269" s="11">
        <v>71.52</v>
      </c>
      <c r="E269" s="11">
        <v>71.89</v>
      </c>
      <c r="F269" s="11">
        <v>71.2</v>
      </c>
      <c r="G269" s="11">
        <v>71.319999999999993</v>
      </c>
      <c r="H269" s="13">
        <f t="shared" si="61"/>
        <v>-2.796420581655521E-3</v>
      </c>
      <c r="I269" s="14">
        <v>31923780</v>
      </c>
      <c r="J269" s="21">
        <f>I269/10963189245</f>
        <v>2.9119063154510018E-3</v>
      </c>
      <c r="K269" s="14">
        <v>446962</v>
      </c>
      <c r="L269" s="14">
        <f t="shared" ref="L269" si="578">G269*1261875720</f>
        <v>89996976350.399994</v>
      </c>
      <c r="M269" s="12">
        <f t="shared" ref="M269" si="579">G269/(9352763248/1261875720)</f>
        <v>9.6225012826711929</v>
      </c>
      <c r="N269" s="15">
        <f t="shared" ref="N269" si="580">2.3/G269</f>
        <v>3.224901850813236E-2</v>
      </c>
      <c r="O269" s="23" t="s">
        <v>22</v>
      </c>
      <c r="P269" s="23" t="s">
        <v>22</v>
      </c>
    </row>
    <row r="270" spans="1:16" ht="25.2" x14ac:dyDescent="0.25">
      <c r="A270" s="17">
        <v>46233</v>
      </c>
      <c r="B270" s="2" t="s">
        <v>13</v>
      </c>
      <c r="C270" s="11">
        <v>34</v>
      </c>
      <c r="D270" s="11">
        <v>36.619999999999997</v>
      </c>
      <c r="E270" s="11">
        <v>36.9</v>
      </c>
      <c r="F270" s="11">
        <v>35.369999999999997</v>
      </c>
      <c r="G270" s="11">
        <v>36.619999999999997</v>
      </c>
      <c r="H270" s="13">
        <f t="shared" si="61"/>
        <v>0</v>
      </c>
      <c r="I270" s="14">
        <v>101219017</v>
      </c>
      <c r="J270" s="21">
        <v>8.9999999999999993E-3</v>
      </c>
      <c r="K270" s="14">
        <v>2788929</v>
      </c>
      <c r="L270" s="14">
        <f t="shared" ref="L270" si="581">G270*2868140263</f>
        <v>105031296431.06</v>
      </c>
      <c r="M270" s="12">
        <f t="shared" ref="M270" si="582">G270/(11296540287/2868140263)</f>
        <v>9.2976516493221801</v>
      </c>
      <c r="N270" s="24">
        <f t="shared" ref="N270" si="583">3.9386289551/G270</f>
        <v>0.10755404028126707</v>
      </c>
      <c r="O270" s="23">
        <f t="shared" ref="O270" si="584">L270/16400290969</f>
        <v>6.4042337193645675</v>
      </c>
      <c r="P270" s="12">
        <f t="shared" ref="P270" si="585">G270/(47806568940/2868140263)</f>
        <v>2.1970055320824282</v>
      </c>
    </row>
    <row r="271" spans="1:16" ht="25.2" x14ac:dyDescent="0.25">
      <c r="A271" s="17">
        <v>46233</v>
      </c>
      <c r="B271" s="2" t="s">
        <v>14</v>
      </c>
      <c r="C271" s="11">
        <v>18</v>
      </c>
      <c r="D271" s="11">
        <v>71.319999999999993</v>
      </c>
      <c r="E271" s="11">
        <v>73.290000000000006</v>
      </c>
      <c r="F271" s="11">
        <v>70.900000000000006</v>
      </c>
      <c r="G271" s="11">
        <v>73</v>
      </c>
      <c r="H271" s="13">
        <f t="shared" si="61"/>
        <v>2.3555804823331562E-2</v>
      </c>
      <c r="I271" s="14">
        <v>160525007</v>
      </c>
      <c r="J271" s="21">
        <v>1.4E-2</v>
      </c>
      <c r="K271" s="14">
        <v>2221116</v>
      </c>
      <c r="L271" s="14">
        <f t="shared" ref="L271" si="586">G271*1261875720</f>
        <v>92116927560</v>
      </c>
      <c r="M271" s="12">
        <f t="shared" ref="M271" si="587">G271/(9352763248/1261875720)</f>
        <v>9.8491670447980528</v>
      </c>
      <c r="N271" s="15">
        <f t="shared" ref="N271" si="588">2.3/G271</f>
        <v>3.1506849315068489E-2</v>
      </c>
      <c r="O271" s="23" t="s">
        <v>22</v>
      </c>
      <c r="P271" s="23" t="s">
        <v>22</v>
      </c>
    </row>
    <row r="272" spans="1:16" ht="25.2" x14ac:dyDescent="0.25">
      <c r="A272" s="17">
        <v>46236</v>
      </c>
      <c r="B272" s="2" t="s">
        <v>13</v>
      </c>
      <c r="C272" s="11">
        <v>28</v>
      </c>
      <c r="D272" s="11">
        <v>36.619999999999997</v>
      </c>
      <c r="E272" s="11">
        <v>37.770000000000003</v>
      </c>
      <c r="F272" s="11">
        <v>36.85</v>
      </c>
      <c r="G272" s="11">
        <v>37.75</v>
      </c>
      <c r="H272" s="13">
        <f t="shared" si="61"/>
        <v>3.085745494265436E-2</v>
      </c>
      <c r="I272" s="14">
        <v>96223226</v>
      </c>
      <c r="J272" s="21">
        <v>0.01</v>
      </c>
      <c r="K272" s="14">
        <v>2565066</v>
      </c>
      <c r="L272" s="14">
        <f t="shared" ref="L272" si="589">G272*2868140263</f>
        <v>108272294928.25</v>
      </c>
      <c r="M272" s="12">
        <f t="shared" ref="M272" si="590">G272/(11296540287/2868140263)</f>
        <v>9.5845535161636342</v>
      </c>
      <c r="N272" s="24">
        <f t="shared" ref="N272" si="591">3.9386289551/G272</f>
        <v>0.10433454185695364</v>
      </c>
      <c r="O272" s="23">
        <f t="shared" ref="O272" si="592">L272/16400290969</f>
        <v>6.6018520728020871</v>
      </c>
      <c r="P272" s="12">
        <f t="shared" ref="P272" si="593">G272/(47806568940/2868140263)</f>
        <v>2.2647995312974243</v>
      </c>
    </row>
    <row r="273" spans="1:16" ht="25.2" x14ac:dyDescent="0.25">
      <c r="A273" s="17">
        <v>46236</v>
      </c>
      <c r="B273" s="2" t="s">
        <v>14</v>
      </c>
      <c r="C273" s="11">
        <v>25</v>
      </c>
      <c r="D273" s="11">
        <v>73</v>
      </c>
      <c r="E273" s="11">
        <v>74.83</v>
      </c>
      <c r="F273" s="11">
        <v>73.599999999999994</v>
      </c>
      <c r="G273" s="11">
        <v>74.48</v>
      </c>
      <c r="H273" s="13">
        <f t="shared" si="61"/>
        <v>2.0273972602739779E-2</v>
      </c>
      <c r="I273" s="14">
        <v>110970737</v>
      </c>
      <c r="J273" s="21">
        <v>1.2E-2</v>
      </c>
      <c r="K273" s="14">
        <v>1492657</v>
      </c>
      <c r="L273" s="14">
        <f t="shared" ref="L273" si="594">G273*1261875720</f>
        <v>93984503625.600006</v>
      </c>
      <c r="M273" s="12">
        <f t="shared" ref="M273" si="595">G273/(9352763248/1261875720)</f>
        <v>10.048848787624095</v>
      </c>
      <c r="N273" s="15">
        <f t="shared" ref="N273" si="596">2.3/G273</f>
        <v>3.0880773361976366E-2</v>
      </c>
      <c r="O273" s="23" t="s">
        <v>22</v>
      </c>
      <c r="P273" s="23" t="s">
        <v>22</v>
      </c>
    </row>
    <row r="274" spans="1:16" ht="25.2" x14ac:dyDescent="0.25">
      <c r="A274" s="17">
        <v>46237</v>
      </c>
      <c r="B274" s="2" t="s">
        <v>13</v>
      </c>
      <c r="C274" s="11">
        <v>59</v>
      </c>
      <c r="D274" s="11">
        <v>37.75</v>
      </c>
      <c r="E274" s="11">
        <v>37.89</v>
      </c>
      <c r="F274" s="11">
        <v>36.9</v>
      </c>
      <c r="G274" s="11">
        <v>36.94</v>
      </c>
      <c r="H274" s="13">
        <f t="shared" si="61"/>
        <v>-2.1456953642384168E-2</v>
      </c>
      <c r="I274" s="14">
        <v>62716023</v>
      </c>
      <c r="J274" s="21">
        <f>I274/15681809735</f>
        <v>3.999284780252437E-3</v>
      </c>
      <c r="K274" s="14">
        <v>1685954</v>
      </c>
      <c r="L274" s="14">
        <f t="shared" ref="L274" si="597">G274*2868140263</f>
        <v>105949101315.21999</v>
      </c>
      <c r="M274" s="12">
        <f t="shared" ref="M274" si="598">G274/(11296540287/2868140263)</f>
        <v>9.3788981956843607</v>
      </c>
      <c r="N274" s="24">
        <f t="shared" ref="N274" si="599">3.9386289551/G274</f>
        <v>0.1066223322983216</v>
      </c>
      <c r="O274" s="23">
        <f t="shared" ref="O274" si="600">L274/16400290969</f>
        <v>6.4601964389220941</v>
      </c>
      <c r="P274" s="12">
        <f t="shared" ref="P274" si="601">G274/(47806568940/2868140263)</f>
        <v>2.2162038327450819</v>
      </c>
    </row>
    <row r="275" spans="1:16" ht="25.2" x14ac:dyDescent="0.25">
      <c r="A275" s="17">
        <v>46237</v>
      </c>
      <c r="B275" s="2" t="s">
        <v>14</v>
      </c>
      <c r="C275" s="11">
        <v>25</v>
      </c>
      <c r="D275" s="11">
        <v>74.48</v>
      </c>
      <c r="E275" s="11">
        <v>74.45</v>
      </c>
      <c r="F275" s="11">
        <v>72</v>
      </c>
      <c r="G275" s="11">
        <v>72.12</v>
      </c>
      <c r="H275" s="13">
        <f t="shared" si="61"/>
        <v>-3.1686358754027914E-2</v>
      </c>
      <c r="I275" s="14">
        <v>154701184</v>
      </c>
      <c r="J275" s="21">
        <f>I275/15681809735</f>
        <v>9.8650083513463823E-3</v>
      </c>
      <c r="K275" s="14">
        <v>2124377</v>
      </c>
      <c r="L275" s="14">
        <f t="shared" ref="L275" si="602">G275*1261875720</f>
        <v>91006476926.400009</v>
      </c>
      <c r="M275" s="12">
        <f t="shared" ref="M275" si="603">G275/(9352763248/1261875720)</f>
        <v>9.7304373598744611</v>
      </c>
      <c r="N275" s="15">
        <f t="shared" ref="N275" si="604">2.3/G275</f>
        <v>3.1891292290626726E-2</v>
      </c>
      <c r="O275" s="23" t="s">
        <v>22</v>
      </c>
      <c r="P275" s="23" t="s">
        <v>22</v>
      </c>
    </row>
    <row r="276" spans="1:16" ht="25.2" x14ac:dyDescent="0.25">
      <c r="A276" s="17">
        <v>46238</v>
      </c>
      <c r="B276" s="2" t="s">
        <v>13</v>
      </c>
      <c r="C276" s="11">
        <v>91</v>
      </c>
      <c r="D276" s="11">
        <v>36.94</v>
      </c>
      <c r="E276" s="11">
        <v>37.24</v>
      </c>
      <c r="F276" s="11">
        <v>36.81</v>
      </c>
      <c r="G276" s="11">
        <v>37.200000000000003</v>
      </c>
      <c r="H276" s="13">
        <f t="shared" si="61"/>
        <v>7.0384407146725806E-3</v>
      </c>
      <c r="I276" s="14">
        <v>34909250</v>
      </c>
      <c r="J276" s="21">
        <f>I276/15156152467</f>
        <v>2.3033055438053348E-3</v>
      </c>
      <c r="K276" s="14">
        <v>942162</v>
      </c>
      <c r="L276" s="14">
        <f t="shared" ref="L276" si="605">G276*2868140263</f>
        <v>106694817783.60001</v>
      </c>
      <c r="M276" s="12">
        <f t="shared" ref="M276" si="606">G276/(11296540287/2868140263)</f>
        <v>9.444911014603635</v>
      </c>
      <c r="N276" s="24">
        <f t="shared" ref="N276" si="607">3.9386289551/G276</f>
        <v>0.10587712244892472</v>
      </c>
      <c r="O276" s="23">
        <f t="shared" ref="O276" si="608">L276/16400290969</f>
        <v>6.5056661485625868</v>
      </c>
      <c r="P276" s="12">
        <f t="shared" ref="P276" si="609">G276/(47806568940/2868140263)</f>
        <v>2.2318024520334885</v>
      </c>
    </row>
    <row r="277" spans="1:16" ht="25.2" x14ac:dyDescent="0.25">
      <c r="A277" s="17">
        <v>46238</v>
      </c>
      <c r="B277" s="2" t="s">
        <v>14</v>
      </c>
      <c r="C277" s="11">
        <v>27</v>
      </c>
      <c r="D277" s="11">
        <v>72.12</v>
      </c>
      <c r="E277" s="11">
        <v>74.099999999999994</v>
      </c>
      <c r="F277" s="11">
        <v>72.900000000000006</v>
      </c>
      <c r="G277" s="11">
        <v>73.180000000000007</v>
      </c>
      <c r="H277" s="13">
        <f t="shared" si="61"/>
        <v>1.4697726012201916E-2</v>
      </c>
      <c r="I277" s="14">
        <v>135981949</v>
      </c>
      <c r="J277" s="21">
        <f>I277/15156152467</f>
        <v>8.9720626191956091E-3</v>
      </c>
      <c r="K277" s="14">
        <v>1849043</v>
      </c>
      <c r="L277" s="14">
        <f t="shared" ref="L277" si="610">G277*1261875720</f>
        <v>92344065189.600006</v>
      </c>
      <c r="M277" s="12">
        <f t="shared" ref="M277" si="611">G277/(9352763248/1261875720)</f>
        <v>9.8734526621687877</v>
      </c>
      <c r="N277" s="15">
        <f t="shared" ref="N277" si="612">2.3/G277</f>
        <v>3.1429352282044271E-2</v>
      </c>
      <c r="O277" s="23" t="s">
        <v>22</v>
      </c>
      <c r="P277" s="23" t="s">
        <v>22</v>
      </c>
    </row>
    <row r="278" spans="1:16" ht="25.2" x14ac:dyDescent="0.25">
      <c r="A278" s="17">
        <v>46239</v>
      </c>
      <c r="B278" s="2" t="s">
        <v>13</v>
      </c>
      <c r="C278" s="11">
        <v>63</v>
      </c>
      <c r="D278" s="11">
        <v>37.200000000000003</v>
      </c>
      <c r="E278" s="11">
        <v>37.33</v>
      </c>
      <c r="F278" s="11">
        <v>36.86</v>
      </c>
      <c r="G278" s="11">
        <v>37</v>
      </c>
      <c r="H278" s="13">
        <f t="shared" si="61"/>
        <v>-5.3763440860215813E-3</v>
      </c>
      <c r="I278" s="14">
        <v>53708475</v>
      </c>
      <c r="J278" s="21">
        <f>I278/12927715061</f>
        <v>4.1545218738635687E-3</v>
      </c>
      <c r="K278" s="14">
        <v>1446853</v>
      </c>
      <c r="L278" s="14">
        <f t="shared" ref="L278" si="613">G278*2868140263</f>
        <v>106121189731</v>
      </c>
      <c r="M278" s="12">
        <f t="shared" ref="M278" si="614">G278/(11296540287/2868140263)</f>
        <v>9.3941319231272704</v>
      </c>
      <c r="N278" s="25">
        <v>0.1065</v>
      </c>
      <c r="O278" s="23">
        <f t="shared" ref="O278" si="615">L278/16400290969</f>
        <v>6.4706894488391313</v>
      </c>
      <c r="P278" s="12">
        <f t="shared" ref="P278" si="616">G278/(47806568940/2868140263)</f>
        <v>2.2198035141193295</v>
      </c>
    </row>
    <row r="279" spans="1:16" ht="25.2" x14ac:dyDescent="0.25">
      <c r="A279" s="17">
        <v>46239</v>
      </c>
      <c r="B279" s="2" t="s">
        <v>14</v>
      </c>
      <c r="C279" s="11">
        <v>26</v>
      </c>
      <c r="D279" s="11">
        <v>73.180000000000007</v>
      </c>
      <c r="E279" s="11">
        <v>74.63</v>
      </c>
      <c r="F279" s="11">
        <v>72.91</v>
      </c>
      <c r="G279" s="11">
        <v>74</v>
      </c>
      <c r="H279" s="13">
        <f t="shared" si="61"/>
        <v>1.1205247335337429E-2</v>
      </c>
      <c r="I279" s="14">
        <v>133544325</v>
      </c>
      <c r="J279" s="21">
        <v>1.0999999999999999E-2</v>
      </c>
      <c r="K279" s="14">
        <v>1806239</v>
      </c>
      <c r="L279" s="14">
        <f t="shared" ref="L279" si="617">G279*1261875720</f>
        <v>93378803280</v>
      </c>
      <c r="M279" s="12">
        <f t="shared" ref="M279" si="618">G279/(9352763248/1261875720)</f>
        <v>9.984087141302135</v>
      </c>
      <c r="N279" s="15">
        <f t="shared" ref="N279" si="619">2.3/G279</f>
        <v>3.1081081081081079E-2</v>
      </c>
      <c r="O279" s="23" t="s">
        <v>22</v>
      </c>
      <c r="P279" s="23" t="s">
        <v>22</v>
      </c>
    </row>
    <row r="280" spans="1:16" ht="25.2" x14ac:dyDescent="0.25">
      <c r="A280" s="17">
        <v>46240</v>
      </c>
      <c r="B280" s="2" t="s">
        <v>13</v>
      </c>
      <c r="C280" s="11">
        <v>60</v>
      </c>
      <c r="D280" s="11">
        <v>37</v>
      </c>
      <c r="E280" s="11">
        <v>37.270000000000003</v>
      </c>
      <c r="F280" s="11">
        <v>36.950000000000003</v>
      </c>
      <c r="G280" s="11">
        <v>37</v>
      </c>
      <c r="H280" s="13">
        <f t="shared" si="61"/>
        <v>0</v>
      </c>
      <c r="I280" s="14">
        <v>55335244</v>
      </c>
      <c r="J280" s="21">
        <f>I280/13967654392</f>
        <v>3.9616704742990606E-3</v>
      </c>
      <c r="K280" s="14">
        <v>1492046</v>
      </c>
      <c r="L280" s="14">
        <f t="shared" ref="L280" si="620">G280*2868140263</f>
        <v>106121189731</v>
      </c>
      <c r="M280" s="12">
        <f t="shared" ref="M280" si="621">G280/(11296540287/2868140263)</f>
        <v>9.3941319231272704</v>
      </c>
      <c r="N280" s="25">
        <v>0.1065</v>
      </c>
      <c r="O280" s="23">
        <f t="shared" ref="O280" si="622">L280/16400290969</f>
        <v>6.4706894488391313</v>
      </c>
      <c r="P280" s="12">
        <f t="shared" ref="P280" si="623">G280/(47806568940/2868140263)</f>
        <v>2.2198035141193295</v>
      </c>
    </row>
    <row r="281" spans="1:16" ht="25.2" x14ac:dyDescent="0.25">
      <c r="A281" s="17">
        <v>46240</v>
      </c>
      <c r="B281" s="2" t="s">
        <v>14</v>
      </c>
      <c r="C281" s="11">
        <v>42</v>
      </c>
      <c r="D281" s="11">
        <v>74</v>
      </c>
      <c r="E281" s="11">
        <v>75</v>
      </c>
      <c r="F281" s="11">
        <v>73.72</v>
      </c>
      <c r="G281" s="11">
        <v>74.2</v>
      </c>
      <c r="H281" s="13">
        <f t="shared" si="61"/>
        <v>2.702702702702741E-3</v>
      </c>
      <c r="I281" s="14">
        <v>89063441</v>
      </c>
      <c r="J281" s="21">
        <v>7.0000000000000001E-3</v>
      </c>
      <c r="K281" s="14">
        <v>1193445</v>
      </c>
      <c r="L281" s="14">
        <f t="shared" ref="L281" si="624">G281*1261875720</f>
        <v>93631178424</v>
      </c>
      <c r="M281" s="12">
        <f t="shared" ref="M281" si="625">G281/(9352763248/1261875720)</f>
        <v>10.011071160602953</v>
      </c>
      <c r="N281" s="15">
        <f t="shared" ref="N281" si="626">2.3/G281</f>
        <v>3.0997304582210238E-2</v>
      </c>
      <c r="O281" s="23" t="s">
        <v>22</v>
      </c>
      <c r="P281" s="23" t="s">
        <v>22</v>
      </c>
    </row>
    <row r="282" spans="1:16" ht="25.2" x14ac:dyDescent="0.25">
      <c r="A282" s="17">
        <v>46243</v>
      </c>
      <c r="B282" s="2" t="s">
        <v>13</v>
      </c>
      <c r="C282" s="11">
        <v>89</v>
      </c>
      <c r="D282" s="11">
        <v>37</v>
      </c>
      <c r="E282" s="11">
        <v>37.24</v>
      </c>
      <c r="F282" s="11">
        <v>37.01</v>
      </c>
      <c r="G282" s="11">
        <v>37.18</v>
      </c>
      <c r="H282" s="13">
        <f t="shared" si="61"/>
        <v>4.8648648648648568E-3</v>
      </c>
      <c r="I282" s="14">
        <v>32856910</v>
      </c>
      <c r="J282" s="21">
        <f>I282/12233009105</f>
        <v>2.6859221404952924E-3</v>
      </c>
      <c r="K282" s="14">
        <v>884718</v>
      </c>
      <c r="L282" s="14">
        <f t="shared" ref="L282" si="627">G282*2868140263</f>
        <v>106637454978.34</v>
      </c>
      <c r="M282" s="12">
        <f t="shared" ref="M282" si="628">G282/(11296540287/2868140263)</f>
        <v>9.4398331054559979</v>
      </c>
      <c r="N282" s="24">
        <f t="shared" ref="N282" si="629">3.9386289551/G282</f>
        <v>0.10593407625336203</v>
      </c>
      <c r="O282" s="23">
        <f t="shared" ref="O282" si="630">L282/16400290969</f>
        <v>6.5021684785902405</v>
      </c>
      <c r="P282" s="12">
        <f t="shared" ref="P282" si="631">G282/(47806568940/2868140263)</f>
        <v>2.2306025582420723</v>
      </c>
    </row>
    <row r="283" spans="1:16" ht="25.2" x14ac:dyDescent="0.25">
      <c r="A283" s="17">
        <v>46243</v>
      </c>
      <c r="B283" s="2" t="s">
        <v>14</v>
      </c>
      <c r="C283" s="11">
        <v>66</v>
      </c>
      <c r="D283" s="11">
        <v>74.2</v>
      </c>
      <c r="E283" s="11">
        <v>75</v>
      </c>
      <c r="F283" s="11">
        <v>73.75</v>
      </c>
      <c r="G283" s="11">
        <v>74.19</v>
      </c>
      <c r="H283" s="13">
        <f t="shared" si="61"/>
        <v>-1.3477088948793956E-4</v>
      </c>
      <c r="I283" s="14">
        <v>54094159</v>
      </c>
      <c r="J283" s="21">
        <v>5.0000000000000001E-3</v>
      </c>
      <c r="K283" s="14">
        <v>729879</v>
      </c>
      <c r="L283" s="14">
        <f t="shared" ref="L283" si="632">G283*1261875720</f>
        <v>93618559666.800003</v>
      </c>
      <c r="M283" s="12">
        <f t="shared" ref="M283" si="633">G283/(9352763248/1261875720)</f>
        <v>10.009721959637911</v>
      </c>
      <c r="N283" s="15">
        <f t="shared" ref="N283" si="634">2.3/G283</f>
        <v>3.1001482679606413E-2</v>
      </c>
      <c r="O283" s="23" t="s">
        <v>22</v>
      </c>
      <c r="P283" s="23" t="s">
        <v>22</v>
      </c>
    </row>
    <row r="284" spans="1:16" ht="25.2" x14ac:dyDescent="0.25">
      <c r="A284" s="17">
        <v>46244</v>
      </c>
      <c r="B284" s="2" t="s">
        <v>13</v>
      </c>
      <c r="C284" s="11">
        <v>104</v>
      </c>
      <c r="D284" s="11">
        <v>37.18</v>
      </c>
      <c r="E284" s="11">
        <v>37.22</v>
      </c>
      <c r="F284" s="11">
        <v>36.950000000000003</v>
      </c>
      <c r="G284" s="11">
        <v>37</v>
      </c>
      <c r="H284" s="13">
        <f t="shared" si="61"/>
        <v>-4.8413125336202187E-3</v>
      </c>
      <c r="I284" s="14">
        <v>33715079</v>
      </c>
      <c r="J284" s="21">
        <f>I284/14904004291</f>
        <v>2.2621490400643097E-3</v>
      </c>
      <c r="K284" s="14">
        <v>910734</v>
      </c>
      <c r="L284" s="14">
        <f t="shared" ref="L284" si="635">G284*2868140263</f>
        <v>106121189731</v>
      </c>
      <c r="M284" s="12">
        <f t="shared" ref="M284" si="636">G284/(11296540287/2868140263)</f>
        <v>9.3941319231272704</v>
      </c>
      <c r="N284" s="25">
        <v>0.1065</v>
      </c>
      <c r="O284" s="23">
        <f t="shared" ref="O284" si="637">L284/16400290969</f>
        <v>6.4706894488391313</v>
      </c>
      <c r="P284" s="12">
        <f t="shared" ref="P284" si="638">G284/(47806568940/2868140263)</f>
        <v>2.2198035141193295</v>
      </c>
    </row>
    <row r="285" spans="1:16" ht="25.2" x14ac:dyDescent="0.25">
      <c r="A285" s="17">
        <v>46244</v>
      </c>
      <c r="B285" s="2" t="s">
        <v>14</v>
      </c>
      <c r="C285" s="11">
        <v>93</v>
      </c>
      <c r="D285" s="11">
        <v>74.19</v>
      </c>
      <c r="E285" s="11">
        <v>74.2</v>
      </c>
      <c r="F285" s="11">
        <v>73.52</v>
      </c>
      <c r="G285" s="11">
        <v>73.650000000000006</v>
      </c>
      <c r="H285" s="13">
        <f t="shared" si="61"/>
        <v>-7.2786089769509644E-3</v>
      </c>
      <c r="I285" s="14">
        <v>42075125</v>
      </c>
      <c r="J285" s="21">
        <f>I285/14904004291</f>
        <v>2.8230752070708726E-3</v>
      </c>
      <c r="K285" s="14">
        <v>570343</v>
      </c>
      <c r="L285" s="14">
        <f t="shared" ref="L285" si="639">G285*1261875720</f>
        <v>92937146778</v>
      </c>
      <c r="M285" s="12">
        <f t="shared" ref="M285" si="640">G285/(9352763248/1261875720)</f>
        <v>9.9368651075257066</v>
      </c>
      <c r="N285" s="15">
        <f t="shared" ref="N285" si="641">2.3/G285</f>
        <v>3.1228784792939574E-2</v>
      </c>
      <c r="O285" s="23" t="s">
        <v>22</v>
      </c>
      <c r="P285" s="23" t="s">
        <v>22</v>
      </c>
    </row>
    <row r="286" spans="1:16" ht="25.2" x14ac:dyDescent="0.25">
      <c r="A286" s="17">
        <v>46245</v>
      </c>
      <c r="B286" s="2" t="s">
        <v>13</v>
      </c>
      <c r="C286" s="11">
        <v>58</v>
      </c>
      <c r="D286" s="11">
        <v>37</v>
      </c>
      <c r="E286" s="11">
        <v>37.799999999999997</v>
      </c>
      <c r="F286" s="11">
        <v>36.979999999999997</v>
      </c>
      <c r="G286" s="11">
        <v>37.69</v>
      </c>
      <c r="H286" s="13">
        <f t="shared" si="61"/>
        <v>1.8648648648648587E-2</v>
      </c>
      <c r="I286" s="14">
        <v>80746662</v>
      </c>
      <c r="J286" s="21">
        <f>I286/18572075838</f>
        <v>4.3477456534387858E-3</v>
      </c>
      <c r="K286" s="14">
        <v>2160151</v>
      </c>
      <c r="L286" s="14">
        <f t="shared" ref="L286" si="642">G286*2868140263</f>
        <v>108100206512.46999</v>
      </c>
      <c r="M286" s="12">
        <f t="shared" ref="M286" si="643">G286/(11296540287/2868140263)</f>
        <v>9.5693197887207244</v>
      </c>
      <c r="N286" s="24">
        <f t="shared" ref="N286" si="644">3.9386289551/G286</f>
        <v>0.10450063558238259</v>
      </c>
      <c r="O286" s="23">
        <f t="shared" ref="O286" si="645">L286/16400290969</f>
        <v>6.5913590628850498</v>
      </c>
      <c r="P286" s="12">
        <f t="shared" ref="P286" si="646">G286/(47806568940/2868140263)</f>
        <v>2.2611998499231767</v>
      </c>
    </row>
    <row r="287" spans="1:16" ht="25.2" x14ac:dyDescent="0.25">
      <c r="A287" s="17">
        <v>46245</v>
      </c>
      <c r="B287" s="2" t="s">
        <v>14</v>
      </c>
      <c r="C287" s="11">
        <v>48</v>
      </c>
      <c r="D287" s="11">
        <v>73.650000000000006</v>
      </c>
      <c r="E287" s="11">
        <v>74.87</v>
      </c>
      <c r="F287" s="11">
        <v>73.2</v>
      </c>
      <c r="G287" s="11">
        <v>74.599999999999994</v>
      </c>
      <c r="H287" s="13">
        <f t="shared" si="61"/>
        <v>1.2898845892735758E-2</v>
      </c>
      <c r="I287" s="14">
        <v>92140894</v>
      </c>
      <c r="J287" s="21">
        <f>I287/18572075838</f>
        <v>4.961259839972876E-3</v>
      </c>
      <c r="K287" s="14">
        <v>1244618</v>
      </c>
      <c r="L287" s="14">
        <f t="shared" ref="L287" si="647">G287*1261875720</f>
        <v>94135928712</v>
      </c>
      <c r="M287" s="12">
        <f t="shared" ref="M287" si="648">G287/(9352763248/1261875720)</f>
        <v>10.065039199204584</v>
      </c>
      <c r="N287" s="15">
        <f t="shared" ref="N287" si="649">2.3/G287</f>
        <v>3.0831099195710455E-2</v>
      </c>
      <c r="O287" s="23" t="s">
        <v>22</v>
      </c>
      <c r="P287" s="23" t="s">
        <v>22</v>
      </c>
    </row>
    <row r="288" spans="1:16" ht="25.2" x14ac:dyDescent="0.25">
      <c r="A288" s="17">
        <v>46246</v>
      </c>
      <c r="B288" s="2" t="s">
        <v>13</v>
      </c>
      <c r="C288" s="11">
        <v>28</v>
      </c>
      <c r="D288" s="11">
        <v>37.69</v>
      </c>
      <c r="E288" s="11">
        <v>38.79</v>
      </c>
      <c r="F288" s="11">
        <v>37.909999999999997</v>
      </c>
      <c r="G288" s="11">
        <v>38</v>
      </c>
      <c r="H288" s="13">
        <f t="shared" si="61"/>
        <v>8.2249933669408942E-3</v>
      </c>
      <c r="I288" s="14">
        <v>140861220</v>
      </c>
      <c r="J288" s="21">
        <f>I288/16390276358</f>
        <v>8.5941943212718593E-3</v>
      </c>
      <c r="K288" s="14">
        <v>3673739</v>
      </c>
      <c r="L288" s="14">
        <f t="shared" ref="L288" si="650">G288*2868140263</f>
        <v>108989329994</v>
      </c>
      <c r="M288" s="12">
        <f t="shared" ref="M288" si="651">G288/(11296540287/2868140263)</f>
        <v>9.6480273805090899</v>
      </c>
      <c r="N288" s="25">
        <v>0.1037</v>
      </c>
      <c r="O288" s="23">
        <f t="shared" ref="O288" si="652">L288/16400290969</f>
        <v>6.6455729474564054</v>
      </c>
      <c r="P288" s="12">
        <f t="shared" ref="P288" si="653">G288/(47806568940/2868140263)</f>
        <v>2.2797982036901225</v>
      </c>
    </row>
    <row r="289" spans="1:16" ht="25.2" x14ac:dyDescent="0.25">
      <c r="A289" s="17">
        <v>46246</v>
      </c>
      <c r="B289" s="2" t="s">
        <v>14</v>
      </c>
      <c r="C289" s="11">
        <v>33</v>
      </c>
      <c r="D289" s="11">
        <v>74.599999999999994</v>
      </c>
      <c r="E289" s="11">
        <v>75.569999999999993</v>
      </c>
      <c r="F289" s="11">
        <v>74.61</v>
      </c>
      <c r="G289" s="11">
        <v>75.069999999999993</v>
      </c>
      <c r="H289" s="13">
        <f t="shared" si="61"/>
        <v>6.3002680965147306E-3</v>
      </c>
      <c r="I289" s="14">
        <v>119583799</v>
      </c>
      <c r="J289" s="21">
        <v>8.0000000000000002E-3</v>
      </c>
      <c r="K289" s="14">
        <v>1589292</v>
      </c>
      <c r="L289" s="14">
        <f t="shared" ref="L289" si="654">G289*1261875720</f>
        <v>94729010300.399994</v>
      </c>
      <c r="M289" s="12">
        <f t="shared" ref="M289" si="655">G289/(9352763248/1261875720)</f>
        <v>10.128451644561503</v>
      </c>
      <c r="N289" s="15">
        <f t="shared" ref="N289" si="656">2.3/G289</f>
        <v>3.0638071133608634E-2</v>
      </c>
      <c r="O289" s="23" t="s">
        <v>22</v>
      </c>
      <c r="P289" s="23" t="s">
        <v>22</v>
      </c>
    </row>
    <row r="290" spans="1:16" ht="25.2" x14ac:dyDescent="0.25">
      <c r="A290" s="17">
        <v>46247</v>
      </c>
      <c r="B290" s="2" t="s">
        <v>13</v>
      </c>
      <c r="C290" s="11">
        <v>18</v>
      </c>
      <c r="D290" s="11">
        <v>38</v>
      </c>
      <c r="E290" s="11">
        <v>40</v>
      </c>
      <c r="F290" s="11">
        <v>38.299999999999997</v>
      </c>
      <c r="G290" s="11">
        <v>39.909999999999997</v>
      </c>
      <c r="H290" s="13">
        <f t="shared" si="61"/>
        <v>5.0263157894736753E-2</v>
      </c>
      <c r="I290" s="14">
        <v>213179066</v>
      </c>
      <c r="J290" s="21">
        <v>1.6E-2</v>
      </c>
      <c r="K290" s="14">
        <v>5403868</v>
      </c>
      <c r="L290" s="14">
        <f t="shared" ref="L290" si="657">G290*2868140263</f>
        <v>114467477896.32999</v>
      </c>
      <c r="M290" s="12">
        <f t="shared" ref="M290" si="658">G290/(11296540287/2868140263)</f>
        <v>10.132967704108362</v>
      </c>
      <c r="N290" s="24">
        <f t="shared" ref="N290" si="659">3.9386289551/G290</f>
        <v>9.8687771363066903E-2</v>
      </c>
      <c r="O290" s="23">
        <f t="shared" ref="O290" si="660">L290/16400290969</f>
        <v>6.979600429815398</v>
      </c>
      <c r="P290" s="12">
        <f t="shared" ref="P290" si="661">G290/(47806568940/2868140263)</f>
        <v>2.3943880607703361</v>
      </c>
    </row>
    <row r="291" spans="1:16" ht="25.2" x14ac:dyDescent="0.25">
      <c r="A291" s="17">
        <v>46247</v>
      </c>
      <c r="B291" s="2" t="s">
        <v>14</v>
      </c>
      <c r="C291" s="11">
        <v>17</v>
      </c>
      <c r="D291" s="11">
        <v>75.069999999999993</v>
      </c>
      <c r="E291" s="11">
        <v>78</v>
      </c>
      <c r="F291" s="11">
        <v>75.099999999999994</v>
      </c>
      <c r="G291" s="11">
        <v>77.900000000000006</v>
      </c>
      <c r="H291" s="13">
        <f t="shared" si="61"/>
        <v>3.7698148394831661E-2</v>
      </c>
      <c r="I291" s="14">
        <v>226852449</v>
      </c>
      <c r="J291" s="21">
        <v>1.7000000000000001E-2</v>
      </c>
      <c r="K291" s="14">
        <v>2936396</v>
      </c>
      <c r="L291" s="14">
        <f t="shared" ref="L291" si="662">G291*1261875720</f>
        <v>98300118588</v>
      </c>
      <c r="M291" s="12">
        <f t="shared" ref="M291" si="663">G291/(9352763248/1261875720)</f>
        <v>10.51027551766806</v>
      </c>
      <c r="N291" s="15">
        <f t="shared" ref="N291" si="664">2.3/G291</f>
        <v>2.9525032092426184E-2</v>
      </c>
      <c r="O291" s="23" t="s">
        <v>22</v>
      </c>
      <c r="P291" s="23" t="s">
        <v>22</v>
      </c>
    </row>
    <row r="292" spans="1:16" ht="25.2" x14ac:dyDescent="0.25">
      <c r="A292" s="17">
        <v>46250</v>
      </c>
      <c r="B292" s="2" t="s">
        <v>13</v>
      </c>
      <c r="C292" s="11">
        <v>22</v>
      </c>
      <c r="D292" s="11">
        <v>39.909999999999997</v>
      </c>
      <c r="E292" s="11">
        <v>41.49</v>
      </c>
      <c r="F292" s="11">
        <v>40.31</v>
      </c>
      <c r="G292" s="11">
        <v>40.799999999999997</v>
      </c>
      <c r="H292" s="13">
        <f t="shared" si="61"/>
        <v>2.2300175394637953E-2</v>
      </c>
      <c r="I292" s="14">
        <v>175169042</v>
      </c>
      <c r="J292" s="21">
        <f>I292/13484957584</f>
        <v>1.2989958693517831E-2</v>
      </c>
      <c r="K292" s="14">
        <v>4275558</v>
      </c>
      <c r="L292" s="14">
        <f t="shared" ref="L292" si="665">G292*2868140263</f>
        <v>117020122730.39999</v>
      </c>
      <c r="M292" s="12">
        <f t="shared" ref="M292" si="666">G292/(11296540287/2868140263)</f>
        <v>10.358934661178179</v>
      </c>
      <c r="N292" s="24">
        <f t="shared" ref="N292" si="667">3.9386289551/G292</f>
        <v>9.6535023409313733E-2</v>
      </c>
      <c r="O292" s="23">
        <f t="shared" ref="O292" si="668">L292/16400290969</f>
        <v>7.135246743584772</v>
      </c>
      <c r="P292" s="12">
        <f t="shared" ref="P292" si="669">G292/(47806568940/2868140263)</f>
        <v>2.4477833344883417</v>
      </c>
    </row>
    <row r="293" spans="1:16" ht="25.2" x14ac:dyDescent="0.25">
      <c r="A293" s="17">
        <v>46250</v>
      </c>
      <c r="B293" s="2" t="s">
        <v>14</v>
      </c>
      <c r="C293" s="11">
        <v>8</v>
      </c>
      <c r="D293" s="11">
        <v>77.900000000000006</v>
      </c>
      <c r="E293" s="11">
        <v>80.36</v>
      </c>
      <c r="F293" s="11">
        <v>78.55</v>
      </c>
      <c r="G293" s="11">
        <v>79.7</v>
      </c>
      <c r="H293" s="13">
        <f t="shared" si="61"/>
        <v>2.3106546854942196E-2</v>
      </c>
      <c r="I293" s="14">
        <v>248406748</v>
      </c>
      <c r="J293" s="21">
        <v>1.9E-2</v>
      </c>
      <c r="K293" s="14">
        <v>3120922</v>
      </c>
      <c r="L293" s="14">
        <f t="shared" ref="L293" si="670">G293*1261875720</f>
        <v>100571494884</v>
      </c>
      <c r="M293" s="12">
        <f t="shared" ref="M293" si="671">G293/(9352763248/1261875720)</f>
        <v>10.753131691375408</v>
      </c>
      <c r="N293" s="15">
        <f t="shared" ref="N293" si="672">2.3/G293</f>
        <v>2.8858218318695103E-2</v>
      </c>
      <c r="O293" s="23" t="s">
        <v>22</v>
      </c>
      <c r="P293" s="23" t="s">
        <v>22</v>
      </c>
    </row>
    <row r="294" spans="1:16" ht="25.2" x14ac:dyDescent="0.25">
      <c r="A294" s="17"/>
      <c r="B294" s="2"/>
      <c r="C294" s="11"/>
      <c r="D294" s="11"/>
      <c r="E294" s="11"/>
      <c r="F294" s="11"/>
      <c r="G294" s="11"/>
      <c r="H294" s="13"/>
      <c r="I294" s="14"/>
      <c r="J294" s="21"/>
      <c r="K294" s="14"/>
      <c r="L294" s="14"/>
      <c r="M294" s="12"/>
      <c r="N294" s="24"/>
      <c r="O294" s="23"/>
      <c r="P294" s="12"/>
    </row>
    <row r="295" spans="1:16" ht="25.2" x14ac:dyDescent="0.25">
      <c r="A295" s="17"/>
      <c r="B295" s="2"/>
      <c r="C295" s="11"/>
      <c r="D295" s="11"/>
      <c r="E295" s="11"/>
      <c r="F295" s="11"/>
      <c r="G295" s="11"/>
      <c r="H295" s="13"/>
      <c r="I295" s="14"/>
      <c r="J295" s="21"/>
      <c r="K295" s="14"/>
      <c r="L295" s="14"/>
      <c r="M295" s="12"/>
      <c r="N295" s="15"/>
      <c r="O295" s="23"/>
      <c r="P295" s="23"/>
    </row>
    <row r="296" spans="1:16" ht="25.2" x14ac:dyDescent="0.25">
      <c r="A296" s="17"/>
      <c r="B296" s="2"/>
      <c r="C296" s="11"/>
      <c r="D296" s="11"/>
      <c r="E296" s="11"/>
      <c r="F296" s="11"/>
      <c r="G296" s="11"/>
      <c r="H296" s="13"/>
      <c r="I296" s="14"/>
      <c r="J296" s="21"/>
      <c r="K296" s="14"/>
      <c r="L296" s="14"/>
      <c r="M296" s="12"/>
      <c r="N296" s="24"/>
      <c r="O296" s="23"/>
      <c r="P296" s="12"/>
    </row>
    <row r="297" spans="1:16" ht="25.2" x14ac:dyDescent="0.25">
      <c r="A297" s="17"/>
      <c r="B297" s="2"/>
      <c r="C297" s="11"/>
      <c r="D297" s="11"/>
      <c r="E297" s="11"/>
      <c r="F297" s="11"/>
      <c r="G297" s="11"/>
      <c r="H297" s="13"/>
      <c r="I297" s="14"/>
      <c r="J297" s="21"/>
      <c r="K297" s="14"/>
      <c r="L297" s="14"/>
      <c r="M297" s="12"/>
      <c r="N297" s="15"/>
      <c r="O297" s="23"/>
      <c r="P297" s="23"/>
    </row>
    <row r="298" spans="1:16" ht="25.2" x14ac:dyDescent="0.25">
      <c r="A298" s="17"/>
      <c r="B298" s="2"/>
      <c r="C298" s="11"/>
      <c r="D298" s="11"/>
      <c r="E298" s="11"/>
      <c r="F298" s="11"/>
      <c r="G298" s="11"/>
      <c r="H298" s="13"/>
      <c r="I298" s="14"/>
      <c r="J298" s="21"/>
      <c r="K298" s="14"/>
      <c r="L298" s="14"/>
      <c r="M298" s="12"/>
      <c r="N298" s="24"/>
      <c r="O298" s="23"/>
      <c r="P298" s="12"/>
    </row>
    <row r="299" spans="1:16" ht="25.2" x14ac:dyDescent="0.25">
      <c r="A299" s="17"/>
      <c r="B299" s="2"/>
      <c r="C299" s="11"/>
      <c r="D299" s="11"/>
      <c r="E299" s="11"/>
      <c r="F299" s="11"/>
      <c r="G299" s="11"/>
      <c r="H299" s="13"/>
      <c r="I299" s="14"/>
      <c r="J299" s="21"/>
      <c r="K299" s="14"/>
      <c r="L299" s="14"/>
      <c r="M299" s="12"/>
      <c r="N299" s="15"/>
      <c r="O299" s="23"/>
      <c r="P299" s="23"/>
    </row>
    <row r="300" spans="1:16" ht="25.2" x14ac:dyDescent="0.25">
      <c r="A300" s="17"/>
      <c r="B300" s="2"/>
      <c r="C300" s="11"/>
      <c r="D300" s="11"/>
      <c r="E300" s="11"/>
      <c r="F300" s="11"/>
      <c r="G300" s="11"/>
      <c r="H300" s="13"/>
      <c r="I300" s="14"/>
      <c r="J300" s="21"/>
      <c r="K300" s="14"/>
      <c r="L300" s="14"/>
      <c r="M300" s="12"/>
      <c r="N300" s="24"/>
      <c r="O300" s="23"/>
      <c r="P300" s="12"/>
    </row>
    <row r="301" spans="1:16" ht="25.2" x14ac:dyDescent="0.25">
      <c r="A301" s="17"/>
      <c r="B301" s="2"/>
      <c r="C301" s="11"/>
      <c r="D301" s="11"/>
      <c r="E301" s="11"/>
      <c r="F301" s="11"/>
      <c r="G301" s="11"/>
      <c r="H301" s="13"/>
      <c r="I301" s="14"/>
      <c r="J301" s="21"/>
      <c r="K301" s="14"/>
      <c r="L301" s="14"/>
      <c r="M301" s="12"/>
      <c r="N301" s="15"/>
      <c r="O301" s="23"/>
      <c r="P301" s="23"/>
    </row>
    <row r="302" spans="1:16" ht="25.2" x14ac:dyDescent="0.25">
      <c r="A302" s="17"/>
      <c r="B302" s="2"/>
      <c r="C302" s="11"/>
      <c r="D302" s="11"/>
      <c r="E302" s="11"/>
      <c r="F302" s="11"/>
      <c r="G302" s="11"/>
      <c r="H302" s="13"/>
      <c r="I302" s="14"/>
      <c r="J302" s="21"/>
      <c r="K302" s="14"/>
      <c r="L302" s="14"/>
      <c r="M302" s="12"/>
      <c r="N302" s="24"/>
      <c r="O302" s="23"/>
      <c r="P302" s="12"/>
    </row>
    <row r="303" spans="1:16" ht="25.2" x14ac:dyDescent="0.25">
      <c r="A303" s="17"/>
      <c r="B303" s="2"/>
      <c r="C303" s="11"/>
      <c r="D303" s="11"/>
      <c r="E303" s="11"/>
      <c r="F303" s="11"/>
      <c r="G303" s="11"/>
      <c r="H303" s="13"/>
      <c r="I303" s="14"/>
      <c r="J303" s="21"/>
      <c r="K303" s="14"/>
      <c r="L303" s="14"/>
      <c r="M303" s="12"/>
      <c r="N303" s="15"/>
      <c r="O303" s="23"/>
      <c r="P303" s="23"/>
    </row>
    <row r="304" spans="1:16" ht="25.2" x14ac:dyDescent="0.25">
      <c r="A304" s="17"/>
      <c r="B304" s="2"/>
      <c r="C304" s="11"/>
      <c r="D304" s="11"/>
      <c r="E304" s="11"/>
      <c r="F304" s="11"/>
      <c r="G304" s="11"/>
      <c r="H304" s="13"/>
      <c r="I304" s="14"/>
      <c r="J304" s="21"/>
      <c r="K304" s="14"/>
      <c r="L304" s="14"/>
      <c r="M304" s="12"/>
      <c r="N304" s="24"/>
      <c r="O304" s="23"/>
      <c r="P304" s="12"/>
    </row>
    <row r="305" spans="1:16" ht="25.2" x14ac:dyDescent="0.25">
      <c r="A305" s="17"/>
      <c r="B305" s="2"/>
      <c r="C305" s="11"/>
      <c r="D305" s="11"/>
      <c r="E305" s="11"/>
      <c r="F305" s="11"/>
      <c r="G305" s="11"/>
      <c r="H305" s="13"/>
      <c r="I305" s="14"/>
      <c r="J305" s="21"/>
      <c r="K305" s="14"/>
      <c r="L305" s="14"/>
      <c r="M305" s="12"/>
      <c r="N305" s="15"/>
      <c r="O305" s="23"/>
      <c r="P305" s="23"/>
    </row>
    <row r="306" spans="1:16" ht="25.2" x14ac:dyDescent="0.25">
      <c r="A306" s="17"/>
      <c r="B306" s="2"/>
      <c r="C306" s="11"/>
      <c r="D306" s="11"/>
      <c r="E306" s="11"/>
      <c r="F306" s="11"/>
      <c r="G306" s="11"/>
      <c r="H306" s="13"/>
      <c r="I306" s="14"/>
      <c r="J306" s="21"/>
      <c r="K306" s="14"/>
      <c r="L306" s="14"/>
      <c r="M306" s="12"/>
      <c r="N306" s="24"/>
      <c r="O306" s="23"/>
      <c r="P306" s="12"/>
    </row>
    <row r="307" spans="1:16" ht="25.2" x14ac:dyDescent="0.25">
      <c r="A307" s="17"/>
      <c r="B307" s="2"/>
      <c r="C307" s="11"/>
      <c r="D307" s="11"/>
      <c r="E307" s="11"/>
      <c r="F307" s="11"/>
      <c r="G307" s="11"/>
      <c r="H307" s="13"/>
      <c r="I307" s="14"/>
      <c r="J307" s="21"/>
      <c r="K307" s="14"/>
      <c r="L307" s="14"/>
      <c r="M307" s="12"/>
      <c r="N307" s="15"/>
      <c r="O307" s="23"/>
      <c r="P307" s="23"/>
    </row>
    <row r="308" spans="1:16" ht="25.2" x14ac:dyDescent="0.25">
      <c r="A308" s="17"/>
      <c r="B308" s="2"/>
      <c r="C308" s="11"/>
      <c r="D308" s="11"/>
      <c r="E308" s="11"/>
      <c r="F308" s="11"/>
      <c r="G308" s="11"/>
      <c r="H308" s="13"/>
      <c r="I308" s="14"/>
      <c r="J308" s="21"/>
      <c r="K308" s="14"/>
      <c r="L308" s="14"/>
      <c r="M308" s="12"/>
      <c r="N308" s="24"/>
      <c r="O308" s="23"/>
      <c r="P308" s="12"/>
    </row>
    <row r="309" spans="1:16" ht="25.2" x14ac:dyDescent="0.25">
      <c r="A309" s="17"/>
      <c r="B309" s="2"/>
      <c r="C309" s="11"/>
      <c r="D309" s="11"/>
      <c r="E309" s="11"/>
      <c r="F309" s="11"/>
      <c r="G309" s="11"/>
      <c r="H309" s="13"/>
      <c r="I309" s="14"/>
      <c r="J309" s="21"/>
      <c r="K309" s="14"/>
      <c r="L309" s="14"/>
      <c r="M309" s="12"/>
      <c r="N309" s="15"/>
      <c r="O309" s="23"/>
      <c r="P309" s="23"/>
    </row>
    <row r="310" spans="1:16" ht="25.2" x14ac:dyDescent="0.25">
      <c r="A310" s="17"/>
      <c r="B310" s="2"/>
      <c r="C310" s="11"/>
      <c r="D310" s="11"/>
      <c r="E310" s="11"/>
      <c r="F310" s="11"/>
      <c r="G310" s="11"/>
      <c r="H310" s="13"/>
      <c r="I310" s="14"/>
      <c r="J310" s="21"/>
      <c r="K310" s="14"/>
      <c r="L310" s="14"/>
      <c r="M310" s="12"/>
      <c r="N310" s="24"/>
      <c r="O310" s="23"/>
      <c r="P310" s="12"/>
    </row>
    <row r="311" spans="1:16" ht="25.2" x14ac:dyDescent="0.25">
      <c r="A311" s="17"/>
      <c r="B311" s="2"/>
      <c r="C311" s="11"/>
      <c r="D311" s="11"/>
      <c r="E311" s="11"/>
      <c r="F311" s="11"/>
      <c r="G311" s="11"/>
      <c r="H311" s="13"/>
      <c r="I311" s="14"/>
      <c r="J311" s="21"/>
      <c r="K311" s="14"/>
      <c r="L311" s="14"/>
      <c r="M311" s="12"/>
      <c r="N311" s="15"/>
      <c r="O311" s="23"/>
      <c r="P311" s="23"/>
    </row>
    <row r="312" spans="1:16" ht="25.2" x14ac:dyDescent="0.25">
      <c r="A312" s="17"/>
      <c r="B312" s="2"/>
      <c r="C312" s="11"/>
      <c r="D312" s="11"/>
      <c r="E312" s="11"/>
      <c r="F312" s="11"/>
      <c r="G312" s="11"/>
      <c r="H312" s="13"/>
      <c r="I312" s="14"/>
      <c r="J312" s="21"/>
      <c r="K312" s="14"/>
      <c r="L312" s="14"/>
      <c r="M312" s="12"/>
      <c r="N312" s="24"/>
      <c r="O312" s="23"/>
      <c r="P312" s="12"/>
    </row>
    <row r="313" spans="1:16" ht="25.2" x14ac:dyDescent="0.25">
      <c r="A313" s="17"/>
      <c r="B313" s="2"/>
      <c r="C313" s="11"/>
      <c r="D313" s="11"/>
      <c r="E313" s="11"/>
      <c r="F313" s="11"/>
      <c r="G313" s="11"/>
      <c r="H313" s="13"/>
      <c r="I313" s="14"/>
      <c r="J313" s="21"/>
      <c r="K313" s="14"/>
      <c r="L313" s="14"/>
      <c r="M313" s="12"/>
      <c r="N313" s="15"/>
      <c r="O313" s="23"/>
      <c r="P313" s="23"/>
    </row>
    <row r="314" spans="1:16" ht="25.2" x14ac:dyDescent="0.25">
      <c r="A314" s="17"/>
      <c r="B314" s="2"/>
      <c r="C314" s="11"/>
      <c r="D314" s="11"/>
      <c r="E314" s="11"/>
      <c r="F314" s="11"/>
      <c r="G314" s="11"/>
      <c r="H314" s="13"/>
      <c r="I314" s="14"/>
      <c r="J314" s="21"/>
      <c r="K314" s="14"/>
      <c r="L314" s="14"/>
      <c r="M314" s="12"/>
      <c r="N314" s="24"/>
      <c r="O314" s="23"/>
      <c r="P314" s="12"/>
    </row>
    <row r="315" spans="1:16" ht="25.2" x14ac:dyDescent="0.25">
      <c r="A315" s="17"/>
      <c r="B315" s="2"/>
      <c r="C315" s="11"/>
      <c r="D315" s="11"/>
      <c r="E315" s="11"/>
      <c r="F315" s="11"/>
      <c r="G315" s="11"/>
      <c r="H315" s="13"/>
      <c r="I315" s="14"/>
      <c r="J315" s="21"/>
      <c r="K315" s="14"/>
      <c r="L315" s="14"/>
      <c r="M315" s="12"/>
      <c r="N315" s="15"/>
      <c r="O315" s="23"/>
      <c r="P315" s="23"/>
    </row>
    <row r="316" spans="1:16" ht="25.2" x14ac:dyDescent="0.25">
      <c r="A316" s="17"/>
      <c r="B316" s="2"/>
      <c r="C316" s="11"/>
      <c r="D316" s="11"/>
      <c r="E316" s="11"/>
      <c r="F316" s="11"/>
      <c r="G316" s="11"/>
      <c r="H316" s="13"/>
      <c r="I316" s="14"/>
      <c r="J316" s="21"/>
      <c r="K316" s="14"/>
      <c r="L316" s="14"/>
      <c r="M316" s="12"/>
      <c r="N316" s="24"/>
      <c r="O316" s="23"/>
      <c r="P316" s="12"/>
    </row>
    <row r="317" spans="1:16" ht="25.2" x14ac:dyDescent="0.25">
      <c r="A317" s="17"/>
      <c r="B317" s="2"/>
      <c r="C317" s="11"/>
      <c r="D317" s="11"/>
      <c r="E317" s="11"/>
      <c r="F317" s="11"/>
      <c r="G317" s="11"/>
      <c r="H317" s="13"/>
      <c r="I317" s="14"/>
      <c r="J317" s="21"/>
      <c r="K317" s="14"/>
      <c r="L317" s="14"/>
      <c r="M317" s="12"/>
      <c r="N317" s="15"/>
      <c r="O317" s="23"/>
      <c r="P317" s="23"/>
    </row>
    <row r="318" spans="1:16" ht="25.2" x14ac:dyDescent="0.25">
      <c r="A318" s="17"/>
      <c r="B318" s="2"/>
      <c r="C318" s="11"/>
      <c r="D318" s="11"/>
      <c r="E318" s="11"/>
      <c r="F318" s="11"/>
      <c r="G318" s="11"/>
      <c r="H318" s="13"/>
      <c r="I318" s="14"/>
      <c r="J318" s="21"/>
      <c r="K318" s="14"/>
      <c r="L318" s="14"/>
      <c r="M318" s="12"/>
      <c r="N318" s="24"/>
      <c r="O318" s="23"/>
      <c r="P318" s="12"/>
    </row>
    <row r="319" spans="1:16" ht="25.2" x14ac:dyDescent="0.25">
      <c r="A319" s="17"/>
      <c r="B319" s="2"/>
      <c r="C319" s="11"/>
      <c r="D319" s="11"/>
      <c r="E319" s="11"/>
      <c r="F319" s="11"/>
      <c r="G319" s="11"/>
      <c r="H319" s="13"/>
      <c r="I319" s="14"/>
      <c r="J319" s="21"/>
      <c r="K319" s="14"/>
      <c r="L319" s="14"/>
      <c r="M319" s="12"/>
      <c r="N319" s="15"/>
      <c r="O319" s="23"/>
      <c r="P319" s="23"/>
    </row>
    <row r="320" spans="1:16" ht="25.2" x14ac:dyDescent="0.25">
      <c r="A320" s="17"/>
      <c r="B320" s="2"/>
      <c r="C320" s="11"/>
      <c r="D320" s="11"/>
      <c r="E320" s="11"/>
      <c r="F320" s="11"/>
      <c r="G320" s="11"/>
      <c r="H320" s="13"/>
      <c r="I320" s="14"/>
      <c r="J320" s="21"/>
      <c r="K320" s="14"/>
      <c r="L320" s="14"/>
      <c r="M320" s="12"/>
      <c r="N320" s="24"/>
      <c r="O320" s="23"/>
      <c r="P320" s="12"/>
    </row>
    <row r="321" spans="1:16" ht="25.2" x14ac:dyDescent="0.25">
      <c r="A321" s="17"/>
      <c r="B321" s="2"/>
      <c r="C321" s="11"/>
      <c r="D321" s="11"/>
      <c r="E321" s="11"/>
      <c r="F321" s="11"/>
      <c r="G321" s="11"/>
      <c r="H321" s="13"/>
      <c r="I321" s="14"/>
      <c r="J321" s="21"/>
      <c r="K321" s="14"/>
      <c r="L321" s="14"/>
      <c r="M321" s="12"/>
      <c r="N321" s="15"/>
      <c r="O321" s="23"/>
      <c r="P321" s="23"/>
    </row>
    <row r="322" spans="1:16" ht="25.2" x14ac:dyDescent="0.25">
      <c r="A322" s="17"/>
      <c r="B322" s="2"/>
      <c r="C322" s="11"/>
      <c r="D322" s="11"/>
      <c r="E322" s="11"/>
      <c r="F322" s="11"/>
      <c r="G322" s="11"/>
      <c r="H322" s="13"/>
      <c r="I322" s="14"/>
      <c r="J322" s="21"/>
      <c r="K322" s="14"/>
      <c r="L322" s="14"/>
      <c r="M322" s="12"/>
      <c r="N322" s="24"/>
      <c r="O322" s="23"/>
      <c r="P322" s="12"/>
    </row>
    <row r="323" spans="1:16" ht="25.2" x14ac:dyDescent="0.25">
      <c r="A323" s="17"/>
      <c r="B323" s="2"/>
      <c r="C323" s="11"/>
      <c r="D323" s="11"/>
      <c r="E323" s="11"/>
      <c r="F323" s="11"/>
      <c r="G323" s="11"/>
      <c r="H323" s="13"/>
      <c r="I323" s="14"/>
      <c r="J323" s="21"/>
      <c r="K323" s="14"/>
      <c r="L323" s="14"/>
      <c r="M323" s="12"/>
      <c r="N323" s="15"/>
      <c r="O323" s="23"/>
      <c r="P323" s="23"/>
    </row>
    <row r="324" spans="1:16" ht="25.2" x14ac:dyDescent="0.25">
      <c r="A324" s="17"/>
      <c r="B324" s="2"/>
      <c r="C324" s="11"/>
      <c r="D324" s="11"/>
      <c r="E324" s="11"/>
      <c r="F324" s="11"/>
      <c r="G324" s="11"/>
      <c r="H324" s="13"/>
      <c r="I324" s="14"/>
      <c r="J324" s="21"/>
      <c r="K324" s="14"/>
      <c r="L324" s="14"/>
      <c r="M324" s="12"/>
      <c r="N324" s="24"/>
      <c r="O324" s="23"/>
      <c r="P324" s="12"/>
    </row>
    <row r="325" spans="1:16" ht="25.2" x14ac:dyDescent="0.25">
      <c r="A325" s="17"/>
      <c r="B325" s="2"/>
      <c r="C325" s="11"/>
      <c r="D325" s="11"/>
      <c r="E325" s="11"/>
      <c r="F325" s="11"/>
      <c r="G325" s="11"/>
      <c r="H325" s="13"/>
      <c r="I325" s="14"/>
      <c r="J325" s="21"/>
      <c r="K325" s="14"/>
      <c r="L325" s="14"/>
      <c r="M325" s="12"/>
      <c r="N325" s="15"/>
      <c r="O325" s="23"/>
      <c r="P325" s="23"/>
    </row>
    <row r="326" spans="1:16" ht="25.2" x14ac:dyDescent="0.25">
      <c r="A326" s="17"/>
      <c r="B326" s="2"/>
      <c r="C326" s="11"/>
      <c r="D326" s="11"/>
      <c r="E326" s="11"/>
      <c r="F326" s="11"/>
      <c r="G326" s="11"/>
      <c r="H326" s="13"/>
      <c r="I326" s="14"/>
      <c r="J326" s="21"/>
      <c r="K326" s="14"/>
      <c r="L326" s="14"/>
      <c r="M326" s="12"/>
      <c r="N326" s="24"/>
      <c r="O326" s="23"/>
      <c r="P326" s="12"/>
    </row>
    <row r="327" spans="1:16" ht="25.2" x14ac:dyDescent="0.25">
      <c r="A327" s="17"/>
      <c r="B327" s="2"/>
      <c r="C327" s="11"/>
      <c r="D327" s="11"/>
      <c r="E327" s="11"/>
      <c r="F327" s="11"/>
      <c r="G327" s="11"/>
      <c r="H327" s="13"/>
      <c r="I327" s="14"/>
      <c r="J327" s="21"/>
      <c r="K327" s="14"/>
      <c r="L327" s="14"/>
      <c r="M327" s="12"/>
      <c r="N327" s="15"/>
      <c r="O327" s="23"/>
      <c r="P327" s="23"/>
    </row>
    <row r="328" spans="1:16" ht="25.2" x14ac:dyDescent="0.25">
      <c r="A328" s="17"/>
      <c r="B328" s="2"/>
      <c r="C328" s="11"/>
      <c r="D328" s="11"/>
      <c r="E328" s="11"/>
      <c r="F328" s="11"/>
      <c r="G328" s="11"/>
      <c r="H328" s="13"/>
      <c r="I328" s="14"/>
      <c r="J328" s="21"/>
      <c r="K328" s="14"/>
      <c r="L328" s="14"/>
      <c r="M328" s="12"/>
      <c r="N328" s="24"/>
      <c r="O328" s="23"/>
      <c r="P328" s="12"/>
    </row>
    <row r="329" spans="1:16" ht="25.2" x14ac:dyDescent="0.25">
      <c r="A329" s="17"/>
      <c r="B329" s="2"/>
      <c r="C329" s="11"/>
      <c r="D329" s="11"/>
      <c r="E329" s="11"/>
      <c r="F329" s="11"/>
      <c r="G329" s="11"/>
      <c r="H329" s="13"/>
      <c r="I329" s="14"/>
      <c r="J329" s="21"/>
      <c r="K329" s="14"/>
      <c r="L329" s="14"/>
      <c r="M329" s="12"/>
      <c r="N329" s="15"/>
      <c r="O329" s="23"/>
      <c r="P329" s="23"/>
    </row>
    <row r="330" spans="1:16" ht="25.2" x14ac:dyDescent="0.25">
      <c r="A330" s="17"/>
      <c r="B330" s="2"/>
      <c r="C330" s="11"/>
      <c r="D330" s="11"/>
      <c r="E330" s="11"/>
      <c r="F330" s="11"/>
      <c r="G330" s="11"/>
      <c r="H330" s="13"/>
      <c r="I330" s="14"/>
      <c r="J330" s="21"/>
      <c r="K330" s="14"/>
      <c r="L330" s="14"/>
      <c r="M330" s="12"/>
      <c r="N330" s="24"/>
      <c r="O330" s="23"/>
      <c r="P330" s="12"/>
    </row>
    <row r="331" spans="1:16" ht="25.2" x14ac:dyDescent="0.25">
      <c r="A331" s="17"/>
      <c r="B331" s="2"/>
      <c r="C331" s="11"/>
      <c r="D331" s="11"/>
      <c r="E331" s="11"/>
      <c r="F331" s="11"/>
      <c r="G331" s="11"/>
      <c r="H331" s="13"/>
      <c r="I331" s="14"/>
      <c r="J331" s="21"/>
      <c r="K331" s="14"/>
      <c r="L331" s="14"/>
      <c r="M331" s="12"/>
      <c r="N331" s="15"/>
      <c r="O331" s="23"/>
      <c r="P331" s="23"/>
    </row>
    <row r="332" spans="1:16" ht="25.2" x14ac:dyDescent="0.25">
      <c r="A332" s="17"/>
      <c r="B332" s="2"/>
      <c r="C332" s="11"/>
      <c r="D332" s="11"/>
      <c r="E332" s="11"/>
      <c r="F332" s="11"/>
      <c r="G332" s="11"/>
      <c r="H332" s="13"/>
      <c r="I332" s="14"/>
      <c r="J332" s="21"/>
      <c r="K332" s="14"/>
      <c r="L332" s="14"/>
      <c r="M332" s="12"/>
      <c r="N332" s="24"/>
      <c r="O332" s="23"/>
      <c r="P332" s="12"/>
    </row>
    <row r="333" spans="1:16" ht="25.2" x14ac:dyDescent="0.25">
      <c r="A333" s="17"/>
      <c r="B333" s="2"/>
      <c r="C333" s="11"/>
      <c r="D333" s="11"/>
      <c r="E333" s="11"/>
      <c r="F333" s="11"/>
      <c r="G333" s="11"/>
      <c r="H333" s="13"/>
      <c r="I333" s="14"/>
      <c r="J333" s="21"/>
      <c r="K333" s="14"/>
      <c r="L333" s="14"/>
      <c r="M333" s="12"/>
      <c r="N333" s="15"/>
      <c r="O333" s="23"/>
      <c r="P333" s="23"/>
    </row>
    <row r="334" spans="1:16" ht="25.2" x14ac:dyDescent="0.25">
      <c r="A334" s="17"/>
      <c r="B334" s="2"/>
      <c r="C334" s="11"/>
      <c r="D334" s="11"/>
      <c r="E334" s="11"/>
      <c r="F334" s="11"/>
      <c r="G334" s="11"/>
      <c r="H334" s="13"/>
      <c r="I334" s="14"/>
      <c r="J334" s="21"/>
      <c r="K334" s="14"/>
      <c r="L334" s="14"/>
      <c r="M334" s="12"/>
      <c r="N334" s="24"/>
      <c r="O334" s="23"/>
      <c r="P334" s="12"/>
    </row>
    <row r="335" spans="1:16" ht="25.2" x14ac:dyDescent="0.25">
      <c r="A335" s="17"/>
      <c r="B335" s="2"/>
      <c r="C335" s="11"/>
      <c r="D335" s="11"/>
      <c r="E335" s="11"/>
      <c r="F335" s="11"/>
      <c r="G335" s="11"/>
      <c r="H335" s="13"/>
      <c r="I335" s="14"/>
      <c r="J335" s="21"/>
      <c r="K335" s="14"/>
      <c r="L335" s="14"/>
      <c r="M335" s="12"/>
      <c r="N335" s="15"/>
      <c r="O335" s="23"/>
      <c r="P335" s="23"/>
    </row>
    <row r="336" spans="1:16" ht="25.2" x14ac:dyDescent="0.25">
      <c r="A336" s="17"/>
      <c r="B336" s="2"/>
      <c r="C336" s="11"/>
      <c r="D336" s="11"/>
      <c r="E336" s="11"/>
      <c r="F336" s="11"/>
      <c r="G336" s="11"/>
      <c r="H336" s="13"/>
      <c r="I336" s="14"/>
      <c r="J336" s="21"/>
      <c r="K336" s="14"/>
      <c r="L336" s="14"/>
      <c r="M336" s="12"/>
      <c r="N336" s="24"/>
      <c r="O336" s="23"/>
      <c r="P336" s="12"/>
    </row>
    <row r="337" spans="1:16" ht="25.2" x14ac:dyDescent="0.25">
      <c r="A337" s="17"/>
      <c r="B337" s="2"/>
      <c r="C337" s="11"/>
      <c r="D337" s="11"/>
      <c r="E337" s="11"/>
      <c r="F337" s="11"/>
      <c r="G337" s="11"/>
      <c r="H337" s="13"/>
      <c r="I337" s="14"/>
      <c r="J337" s="21"/>
      <c r="K337" s="14"/>
      <c r="L337" s="14"/>
      <c r="M337" s="12"/>
      <c r="N337" s="15"/>
      <c r="O337" s="23"/>
      <c r="P337" s="23"/>
    </row>
    <row r="338" spans="1:16" ht="25.2" x14ac:dyDescent="0.25">
      <c r="A338" s="17"/>
      <c r="B338" s="2"/>
      <c r="C338" s="11"/>
      <c r="D338" s="11"/>
      <c r="E338" s="11"/>
      <c r="F338" s="11"/>
      <c r="G338" s="11"/>
      <c r="H338" s="13"/>
      <c r="I338" s="14"/>
      <c r="J338" s="21"/>
      <c r="K338" s="14"/>
      <c r="L338" s="14"/>
      <c r="M338" s="12"/>
      <c r="N338" s="24"/>
      <c r="O338" s="23"/>
      <c r="P338" s="12"/>
    </row>
    <row r="339" spans="1:16" ht="25.2" x14ac:dyDescent="0.25">
      <c r="A339" s="17"/>
      <c r="B339" s="2"/>
      <c r="C339" s="11"/>
      <c r="D339" s="11"/>
      <c r="E339" s="11"/>
      <c r="F339" s="11"/>
      <c r="G339" s="11"/>
      <c r="H339" s="13"/>
      <c r="I339" s="14"/>
      <c r="J339" s="21"/>
      <c r="K339" s="14"/>
      <c r="L339" s="14"/>
      <c r="M339" s="12"/>
      <c r="N339" s="15"/>
      <c r="O339" s="23"/>
      <c r="P339" s="23"/>
    </row>
    <row r="340" spans="1:16" ht="25.2" x14ac:dyDescent="0.25">
      <c r="A340" s="17"/>
      <c r="B340" s="2"/>
      <c r="C340" s="11"/>
      <c r="D340" s="11"/>
      <c r="E340" s="11"/>
      <c r="F340" s="11"/>
      <c r="G340" s="11"/>
      <c r="H340" s="13"/>
      <c r="I340" s="14"/>
      <c r="J340" s="21"/>
      <c r="K340" s="14"/>
      <c r="L340" s="14"/>
      <c r="M340" s="12"/>
      <c r="N340" s="24"/>
      <c r="O340" s="23"/>
      <c r="P340" s="12"/>
    </row>
    <row r="341" spans="1:16" ht="25.2" x14ac:dyDescent="0.25">
      <c r="A341" s="17"/>
      <c r="B341" s="2"/>
      <c r="C341" s="11"/>
      <c r="D341" s="11"/>
      <c r="E341" s="11"/>
      <c r="F341" s="11"/>
      <c r="G341" s="11"/>
      <c r="H341" s="13"/>
      <c r="I341" s="14"/>
      <c r="J341" s="21"/>
      <c r="K341" s="14"/>
      <c r="L341" s="14"/>
      <c r="M341" s="12"/>
      <c r="N341" s="15"/>
      <c r="O341" s="23"/>
      <c r="P341" s="23"/>
    </row>
    <row r="342" spans="1:16" ht="25.2" x14ac:dyDescent="0.25">
      <c r="A342" s="17"/>
      <c r="B342" s="2"/>
      <c r="C342" s="11"/>
      <c r="D342" s="11"/>
      <c r="E342" s="11"/>
      <c r="F342" s="11"/>
      <c r="G342" s="11"/>
      <c r="H342" s="13"/>
      <c r="I342" s="14"/>
      <c r="J342" s="21"/>
      <c r="K342" s="14"/>
      <c r="L342" s="14"/>
      <c r="M342" s="12"/>
      <c r="N342" s="24"/>
      <c r="O342" s="23"/>
      <c r="P342" s="12"/>
    </row>
    <row r="343" spans="1:16" ht="25.2" x14ac:dyDescent="0.25">
      <c r="A343" s="17"/>
      <c r="B343" s="2"/>
      <c r="C343" s="11"/>
      <c r="D343" s="11"/>
      <c r="E343" s="11"/>
      <c r="F343" s="11"/>
      <c r="G343" s="11"/>
      <c r="H343" s="13"/>
      <c r="I343" s="14"/>
      <c r="J343" s="21"/>
      <c r="K343" s="14"/>
      <c r="L343" s="14"/>
      <c r="M343" s="12"/>
      <c r="N343" s="15"/>
      <c r="O343" s="23"/>
      <c r="P343" s="23"/>
    </row>
    <row r="344" spans="1:16" ht="25.2" x14ac:dyDescent="0.25">
      <c r="A344" s="17"/>
      <c r="B344" s="2"/>
      <c r="C344" s="11"/>
      <c r="D344" s="11"/>
      <c r="E344" s="11"/>
      <c r="F344" s="11"/>
      <c r="G344" s="11"/>
      <c r="H344" s="13"/>
      <c r="I344" s="14"/>
      <c r="J344" s="21"/>
      <c r="K344" s="14"/>
      <c r="L344" s="14"/>
      <c r="M344" s="12"/>
      <c r="N344" s="24"/>
      <c r="O344" s="23"/>
      <c r="P344" s="12"/>
    </row>
    <row r="345" spans="1:16" ht="25.2" x14ac:dyDescent="0.25">
      <c r="A345" s="17"/>
      <c r="B345" s="2"/>
      <c r="C345" s="11"/>
      <c r="D345" s="11"/>
      <c r="E345" s="11"/>
      <c r="F345" s="11"/>
      <c r="G345" s="11"/>
      <c r="H345" s="13"/>
      <c r="I345" s="14"/>
      <c r="J345" s="21"/>
      <c r="K345" s="14"/>
      <c r="L345" s="14"/>
      <c r="M345" s="12"/>
      <c r="N345" s="15"/>
      <c r="O345" s="23"/>
      <c r="P345" s="23"/>
    </row>
    <row r="346" spans="1:16" ht="25.2" x14ac:dyDescent="0.25">
      <c r="A346" s="17"/>
      <c r="B346" s="2"/>
      <c r="C346" s="11"/>
      <c r="D346" s="11"/>
      <c r="E346" s="11"/>
      <c r="F346" s="11"/>
      <c r="G346" s="11"/>
      <c r="H346" s="13"/>
      <c r="I346" s="14"/>
      <c r="J346" s="21"/>
      <c r="K346" s="14"/>
      <c r="L346" s="14"/>
      <c r="M346" s="12"/>
      <c r="N346" s="24"/>
      <c r="O346" s="23"/>
      <c r="P346" s="12"/>
    </row>
    <row r="347" spans="1:16" ht="25.2" x14ac:dyDescent="0.25">
      <c r="A347" s="17"/>
      <c r="B347" s="2"/>
      <c r="C347" s="11"/>
      <c r="D347" s="11"/>
      <c r="E347" s="11"/>
      <c r="F347" s="11"/>
      <c r="G347" s="11"/>
      <c r="H347" s="13"/>
      <c r="I347" s="14"/>
      <c r="J347" s="21"/>
      <c r="K347" s="14"/>
      <c r="L347" s="14"/>
      <c r="M347" s="12"/>
      <c r="N347" s="15"/>
      <c r="O347" s="23"/>
      <c r="P347" s="23"/>
    </row>
    <row r="348" spans="1:16" ht="25.2" x14ac:dyDescent="0.25">
      <c r="A348" s="17"/>
      <c r="B348" s="2"/>
      <c r="C348" s="11"/>
      <c r="D348" s="11"/>
      <c r="E348" s="11"/>
      <c r="F348" s="11"/>
      <c r="G348" s="11"/>
      <c r="H348" s="13"/>
      <c r="I348" s="14"/>
      <c r="J348" s="21"/>
      <c r="K348" s="14"/>
      <c r="L348" s="14"/>
      <c r="M348" s="12"/>
      <c r="N348" s="24"/>
      <c r="O348" s="23"/>
      <c r="P348" s="12"/>
    </row>
    <row r="349" spans="1:16" ht="25.2" x14ac:dyDescent="0.25">
      <c r="A349" s="17"/>
      <c r="B349" s="2"/>
      <c r="C349" s="11"/>
      <c r="D349" s="11"/>
      <c r="E349" s="11"/>
      <c r="F349" s="11"/>
      <c r="G349" s="11"/>
      <c r="H349" s="13"/>
      <c r="I349" s="14"/>
      <c r="J349" s="21"/>
      <c r="K349" s="14"/>
      <c r="L349" s="14"/>
      <c r="M349" s="12"/>
      <c r="N349" s="15"/>
      <c r="O349" s="23"/>
      <c r="P349" s="23"/>
    </row>
    <row r="350" spans="1:16" ht="25.2" x14ac:dyDescent="0.25">
      <c r="A350" s="17"/>
      <c r="B350" s="2"/>
      <c r="C350" s="11"/>
      <c r="D350" s="11"/>
      <c r="E350" s="11"/>
      <c r="F350" s="11"/>
      <c r="G350" s="11"/>
      <c r="H350" s="13"/>
      <c r="I350" s="14"/>
      <c r="J350" s="21"/>
      <c r="K350" s="14"/>
      <c r="L350" s="14"/>
      <c r="M350" s="12"/>
      <c r="N350" s="24"/>
      <c r="O350" s="23"/>
      <c r="P350" s="12"/>
    </row>
    <row r="351" spans="1:16" ht="25.2" x14ac:dyDescent="0.25">
      <c r="A351" s="17"/>
      <c r="B351" s="2"/>
      <c r="C351" s="11"/>
      <c r="D351" s="11"/>
      <c r="E351" s="11"/>
      <c r="F351" s="11"/>
      <c r="G351" s="11"/>
      <c r="H351" s="13"/>
      <c r="I351" s="14"/>
      <c r="J351" s="21"/>
      <c r="K351" s="14"/>
      <c r="L351" s="14"/>
      <c r="M351" s="12"/>
      <c r="N351" s="15"/>
      <c r="O351" s="23"/>
      <c r="P351" s="23"/>
    </row>
    <row r="352" spans="1:16" ht="25.2" x14ac:dyDescent="0.25">
      <c r="A352" s="17"/>
      <c r="B352" s="2"/>
      <c r="C352" s="11"/>
      <c r="D352" s="11"/>
      <c r="E352" s="11"/>
      <c r="F352" s="11"/>
      <c r="G352" s="11"/>
      <c r="H352" s="13"/>
      <c r="I352" s="14"/>
      <c r="J352" s="21"/>
      <c r="K352" s="14"/>
      <c r="L352" s="14"/>
      <c r="M352" s="12"/>
      <c r="N352" s="24"/>
      <c r="O352" s="23"/>
      <c r="P352" s="12"/>
    </row>
    <row r="353" spans="1:16" ht="25.2" x14ac:dyDescent="0.25">
      <c r="A353" s="17"/>
      <c r="B353" s="2"/>
      <c r="C353" s="11"/>
      <c r="D353" s="11"/>
      <c r="E353" s="11"/>
      <c r="F353" s="11"/>
      <c r="G353" s="11"/>
      <c r="H353" s="13"/>
      <c r="I353" s="14"/>
      <c r="J353" s="21"/>
      <c r="K353" s="14"/>
      <c r="L353" s="14"/>
      <c r="M353" s="12"/>
      <c r="N353" s="15"/>
      <c r="O353" s="23"/>
      <c r="P353" s="23"/>
    </row>
    <row r="354" spans="1:16" ht="25.2" x14ac:dyDescent="0.25">
      <c r="A354" s="17"/>
      <c r="B354" s="2"/>
      <c r="C354" s="11"/>
      <c r="D354" s="11"/>
      <c r="E354" s="11"/>
      <c r="F354" s="11"/>
      <c r="G354" s="11"/>
      <c r="H354" s="13"/>
      <c r="I354" s="14"/>
      <c r="J354" s="21"/>
      <c r="K354" s="14"/>
      <c r="L354" s="14"/>
      <c r="M354" s="12"/>
      <c r="N354" s="24"/>
      <c r="O354" s="23"/>
      <c r="P354" s="12"/>
    </row>
    <row r="355" spans="1:16" ht="25.2" x14ac:dyDescent="0.25">
      <c r="A355" s="17"/>
      <c r="B355" s="2"/>
      <c r="C355" s="11"/>
      <c r="D355" s="11"/>
      <c r="E355" s="11"/>
      <c r="F355" s="11"/>
      <c r="G355" s="11"/>
      <c r="H355" s="13"/>
      <c r="I355" s="14"/>
      <c r="J355" s="21"/>
      <c r="K355" s="14"/>
      <c r="L355" s="14"/>
      <c r="M355" s="12"/>
      <c r="N355" s="15"/>
      <c r="O355" s="23"/>
      <c r="P355" s="23"/>
    </row>
  </sheetData>
  <pageMargins left="0.7" right="0.7" top="0.75" bottom="0.75" header="0.3" footer="0.3"/>
  <pageSetup paperSize="9" scale="73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1"/>
  <sheetViews>
    <sheetView rightToLeft="1" zoomScaleNormal="100" workbookViewId="0">
      <pane ySplit="3" topLeftCell="A140" activePane="bottomLeft" state="frozen"/>
      <selection pane="bottomLeft" activeCell="A150" sqref="A150"/>
    </sheetView>
  </sheetViews>
  <sheetFormatPr defaultRowHeight="13.8" x14ac:dyDescent="0.25"/>
  <cols>
    <col min="1" max="1" width="14.19921875" bestFit="1" customWidth="1"/>
    <col min="2" max="2" width="6.796875" bestFit="1" customWidth="1"/>
    <col min="3" max="3" width="15.69921875" bestFit="1" customWidth="1"/>
    <col min="4" max="4" width="20.796875" bestFit="1" customWidth="1"/>
    <col min="5" max="5" width="6.796875" bestFit="1" customWidth="1"/>
    <col min="6" max="6" width="15.69921875" bestFit="1" customWidth="1"/>
    <col min="7" max="7" width="20.796875" bestFit="1" customWidth="1"/>
    <col min="8" max="8" width="10.19921875" bestFit="1" customWidth="1"/>
    <col min="9" max="9" width="16" bestFit="1" customWidth="1"/>
    <col min="10" max="10" width="13.796875" bestFit="1" customWidth="1"/>
    <col min="11" max="11" width="21.8984375" bestFit="1" customWidth="1"/>
    <col min="12" max="12" width="8.3984375" customWidth="1"/>
    <col min="13" max="13" width="9.69921875" bestFit="1" customWidth="1"/>
  </cols>
  <sheetData>
    <row r="1" spans="1:13" ht="37.799999999999997" customHeight="1" x14ac:dyDescent="0.25">
      <c r="A1" s="28" t="s">
        <v>15</v>
      </c>
      <c r="B1" s="29"/>
      <c r="C1" s="29"/>
      <c r="D1" s="29"/>
      <c r="E1" s="29"/>
      <c r="F1" s="29"/>
      <c r="G1" s="29"/>
      <c r="H1" s="4"/>
      <c r="I1" s="4"/>
      <c r="J1" s="4"/>
      <c r="K1" s="4"/>
      <c r="L1" s="4"/>
      <c r="M1" s="4"/>
    </row>
    <row r="2" spans="1:13" ht="37.799999999999997" customHeight="1" x14ac:dyDescent="0.25">
      <c r="A2" s="3"/>
      <c r="B2" s="26" t="s">
        <v>16</v>
      </c>
      <c r="C2" s="27"/>
      <c r="D2" s="27"/>
      <c r="E2" s="26" t="s">
        <v>17</v>
      </c>
      <c r="F2" s="27"/>
      <c r="G2" s="27"/>
      <c r="H2" s="4"/>
      <c r="I2" s="4"/>
      <c r="J2" s="4"/>
      <c r="K2" s="4"/>
      <c r="L2" s="4"/>
      <c r="M2" s="4"/>
    </row>
    <row r="3" spans="1:13" ht="30.6" x14ac:dyDescent="0.25">
      <c r="A3" s="1" t="s">
        <v>0</v>
      </c>
      <c r="B3" s="1" t="s">
        <v>1</v>
      </c>
      <c r="C3" s="1" t="s">
        <v>6</v>
      </c>
      <c r="D3" s="1" t="s">
        <v>8</v>
      </c>
      <c r="E3" s="1" t="s">
        <v>1</v>
      </c>
      <c r="F3" s="1" t="s">
        <v>6</v>
      </c>
      <c r="G3" s="1" t="s">
        <v>8</v>
      </c>
      <c r="H3" s="9"/>
      <c r="I3" s="9"/>
      <c r="J3" s="9"/>
      <c r="K3" s="9"/>
      <c r="L3" s="9"/>
      <c r="M3" s="9"/>
    </row>
    <row r="4" spans="1:13" ht="25.2" x14ac:dyDescent="0.25">
      <c r="A4" s="17">
        <f>'التقرير اليومى'!A2</f>
        <v>46026</v>
      </c>
      <c r="B4" s="16">
        <f>'التقرير اليومى'!C2</f>
        <v>53</v>
      </c>
      <c r="C4" s="14">
        <f>'التقرير اليومى'!I2</f>
        <v>20948075</v>
      </c>
      <c r="D4" s="14">
        <f>'التقرير اليومى'!L2</f>
        <v>85527942643</v>
      </c>
      <c r="E4" s="16">
        <f>'التقرير اليومى'!C3</f>
        <v>31</v>
      </c>
      <c r="F4" s="14">
        <f>'التقرير اليومى'!I3</f>
        <v>37946082</v>
      </c>
      <c r="G4" s="14">
        <f>'التقرير اليومى'!L3</f>
        <v>63093786000</v>
      </c>
      <c r="H4" s="5"/>
      <c r="I4" s="6"/>
      <c r="J4" s="6"/>
      <c r="K4" s="6"/>
      <c r="L4" s="7"/>
      <c r="M4" s="8"/>
    </row>
    <row r="5" spans="1:13" ht="25.2" x14ac:dyDescent="0.25">
      <c r="A5" s="17">
        <f>'التقرير اليومى'!A4</f>
        <v>46027</v>
      </c>
      <c r="B5" s="16">
        <f>'التقرير اليومى'!C4</f>
        <v>57</v>
      </c>
      <c r="C5" s="14">
        <f>'التقرير اليومى'!I4</f>
        <v>24818453</v>
      </c>
      <c r="D5" s="14">
        <f>'التقرير اليومى'!L4</f>
        <v>83634970069</v>
      </c>
      <c r="E5" s="16">
        <f>'التقرير اليومى'!C5</f>
        <v>30</v>
      </c>
      <c r="F5" s="14">
        <f>'التقرير اليومى'!I5</f>
        <v>52843916</v>
      </c>
      <c r="G5" s="14">
        <f>'التقرير اليومى'!L5</f>
        <v>61857147794</v>
      </c>
      <c r="H5" s="5"/>
      <c r="I5" s="6"/>
      <c r="J5" s="6"/>
      <c r="K5" s="6"/>
      <c r="L5" s="7"/>
      <c r="M5" s="8"/>
    </row>
    <row r="6" spans="1:13" ht="25.2" x14ac:dyDescent="0.25">
      <c r="A6" s="17">
        <f>'التقرير اليومى'!A6</f>
        <v>46028</v>
      </c>
      <c r="B6" s="16">
        <f>'التقرير اليومى'!C6</f>
        <v>65</v>
      </c>
      <c r="C6" s="14">
        <f>'التقرير اليومى'!I6</f>
        <v>17552743</v>
      </c>
      <c r="D6" s="14">
        <f>'التقرير اليومى'!L6</f>
        <v>86044207890</v>
      </c>
      <c r="E6" s="16">
        <f>'التقرير اليومى'!C7</f>
        <v>49</v>
      </c>
      <c r="F6" s="14">
        <f>'التقرير اليومى'!I7</f>
        <v>27454696</v>
      </c>
      <c r="G6" s="14">
        <f>'التقرير اليومى'!L7</f>
        <v>63724723860</v>
      </c>
      <c r="H6" s="5"/>
      <c r="I6" s="6"/>
      <c r="J6" s="6"/>
      <c r="K6" s="6"/>
      <c r="L6" s="7"/>
      <c r="M6" s="8"/>
    </row>
    <row r="7" spans="1:13" ht="25.2" x14ac:dyDescent="0.25">
      <c r="A7" s="17">
        <f>'التقرير اليومى'!A8</f>
        <v>46030</v>
      </c>
      <c r="B7" s="16">
        <f>'التقرير اليومى'!C8</f>
        <v>47</v>
      </c>
      <c r="C7" s="14">
        <f>'التقرير اليومى'!I8</f>
        <v>27589945</v>
      </c>
      <c r="D7" s="14">
        <f>'التقرير اليومى'!L8</f>
        <v>86675198748</v>
      </c>
      <c r="E7" s="16">
        <f>'التقرير اليومى'!C9</f>
        <v>9</v>
      </c>
      <c r="F7" s="14">
        <f>'التقرير اليومى'!I9</f>
        <v>146053143</v>
      </c>
      <c r="G7" s="14">
        <f>'التقرير اليومى'!L9</f>
        <v>65907768856</v>
      </c>
      <c r="H7" s="5"/>
      <c r="I7" s="6"/>
      <c r="J7" s="6"/>
      <c r="K7" s="6"/>
      <c r="L7" s="7"/>
      <c r="M7" s="8"/>
    </row>
    <row r="8" spans="1:13" ht="25.2" x14ac:dyDescent="0.25">
      <c r="A8" s="17">
        <f>'التقرير اليومى'!A10</f>
        <v>46033</v>
      </c>
      <c r="B8" s="16">
        <f>'التقرير اليومى'!C10</f>
        <v>55</v>
      </c>
      <c r="C8" s="14">
        <f>'التقرير اليومى'!I10</f>
        <v>23417518</v>
      </c>
      <c r="D8" s="14">
        <f>'التقرير اليومى'!L10</f>
        <v>86474428929</v>
      </c>
      <c r="E8" s="16">
        <f>'التقرير اليومى'!C11</f>
        <v>7</v>
      </c>
      <c r="F8" s="14">
        <f>'التقرير اليومى'!I11</f>
        <v>144601427</v>
      </c>
      <c r="G8" s="14">
        <f>'التقرير اليومى'!L11</f>
        <v>67194882090</v>
      </c>
      <c r="H8" s="5"/>
      <c r="I8" s="6"/>
      <c r="J8" s="6"/>
      <c r="K8" s="6"/>
      <c r="L8" s="7"/>
      <c r="M8" s="8"/>
    </row>
    <row r="9" spans="1:13" ht="25.2" x14ac:dyDescent="0.25">
      <c r="A9" s="17">
        <f>'التقرير اليومى'!A12</f>
        <v>46034</v>
      </c>
      <c r="B9" s="16">
        <f>'التقرير اليومى'!C12</f>
        <v>14</v>
      </c>
      <c r="C9" s="14">
        <f>'التقرير اليومى'!I12</f>
        <v>99026960</v>
      </c>
      <c r="D9" s="14">
        <f>'التقرير اليومى'!L12</f>
        <v>88625534127</v>
      </c>
      <c r="E9" s="16">
        <f>'التقرير اليومى'!C13</f>
        <v>13</v>
      </c>
      <c r="F9" s="14">
        <f>'التقرير اليومى'!I13</f>
        <v>106204452</v>
      </c>
      <c r="G9" s="14">
        <f>'التقرير اليومى'!L13</f>
        <v>65655393712</v>
      </c>
      <c r="H9" s="5"/>
      <c r="I9" s="6"/>
      <c r="J9" s="6"/>
      <c r="K9" s="6"/>
      <c r="L9" s="7"/>
      <c r="M9" s="8"/>
    </row>
    <row r="10" spans="1:13" ht="25.2" x14ac:dyDescent="0.25">
      <c r="A10" s="10">
        <f>'التقرير اليومى'!A14</f>
        <v>46035</v>
      </c>
      <c r="B10" s="16">
        <f>'التقرير اليومى'!C14</f>
        <v>36</v>
      </c>
      <c r="C10" s="14">
        <f>'التقرير اليومى'!I14</f>
        <v>36921837</v>
      </c>
      <c r="D10" s="14">
        <f>'التقرير اليومى'!L14</f>
        <v>84638819161.130005</v>
      </c>
      <c r="E10" s="16">
        <f>'التقرير اليومى'!C15</f>
        <v>24</v>
      </c>
      <c r="F10" s="14">
        <f>'التقرير اليومى'!I15</f>
        <v>52973017</v>
      </c>
      <c r="G10" s="14">
        <f>'التقرير اليومى'!L15</f>
        <v>64368280477.199997</v>
      </c>
      <c r="H10" s="5"/>
      <c r="I10" s="6"/>
      <c r="J10" s="6"/>
      <c r="K10" s="6"/>
      <c r="L10" s="7"/>
      <c r="M10" s="8"/>
    </row>
    <row r="11" spans="1:13" ht="25.2" x14ac:dyDescent="0.25">
      <c r="A11" s="17">
        <f>'التقرير اليومى'!A16</f>
        <v>46036</v>
      </c>
      <c r="B11" s="16">
        <f>'التقرير اليومى'!C16</f>
        <v>48</v>
      </c>
      <c r="C11" s="14">
        <f>'التقرير اليومى'!I16</f>
        <v>22327610</v>
      </c>
      <c r="D11" s="14">
        <f>'التقرير اليومى'!L16</f>
        <v>83290793237.520004</v>
      </c>
      <c r="E11" s="16">
        <f>'التقرير اليومى'!C17</f>
        <v>16</v>
      </c>
      <c r="F11" s="14">
        <f>'التقرير اليومى'!I17</f>
        <v>61216083</v>
      </c>
      <c r="G11" s="14">
        <f>'التقرير اليومى'!L17</f>
        <v>63384017415.599998</v>
      </c>
      <c r="H11" s="5"/>
      <c r="I11" s="6"/>
      <c r="J11" s="6"/>
      <c r="K11" s="6"/>
      <c r="L11" s="7"/>
      <c r="M11" s="8"/>
    </row>
    <row r="12" spans="1:13" ht="25.2" x14ac:dyDescent="0.25">
      <c r="A12" s="17">
        <f>'التقرير اليومى'!A18</f>
        <v>46037</v>
      </c>
      <c r="B12" s="16">
        <f>'التقرير اليومى'!C18</f>
        <v>45</v>
      </c>
      <c r="C12" s="14">
        <f>'التقرير اليومى'!I18</f>
        <v>21635422</v>
      </c>
      <c r="D12" s="14">
        <f>'التقرير اليومى'!L18</f>
        <v>83950465498.009995</v>
      </c>
      <c r="E12" s="16">
        <f>'التقرير اليومى'!C19</f>
        <v>11</v>
      </c>
      <c r="F12" s="14">
        <f>'التقرير اليومى'!I19</f>
        <v>83573288</v>
      </c>
      <c r="G12" s="14">
        <f>'التقرير اليومى'!L19</f>
        <v>63119023514.400002</v>
      </c>
      <c r="H12" s="5"/>
      <c r="I12" s="6"/>
      <c r="J12" s="6"/>
      <c r="K12" s="6"/>
      <c r="L12" s="7"/>
      <c r="M12" s="8"/>
    </row>
    <row r="13" spans="1:13" ht="25.2" x14ac:dyDescent="0.25">
      <c r="A13" s="17">
        <f>'التقرير اليومى'!A20</f>
        <v>46040</v>
      </c>
      <c r="B13" s="16">
        <f>'التقرير اليومى'!C20</f>
        <v>35</v>
      </c>
      <c r="C13" s="14">
        <f>'التقرير اليومى'!I20</f>
        <v>19667556</v>
      </c>
      <c r="D13" s="14">
        <f>'التقرير اليومى'!L20</f>
        <v>84581456355.869995</v>
      </c>
      <c r="E13" s="16">
        <f>'التقرير اليومى'!C21</f>
        <v>5</v>
      </c>
      <c r="F13" s="14">
        <f>'التقرير اليومى'!I21</f>
        <v>96721558</v>
      </c>
      <c r="G13" s="14">
        <f>'التقرير اليومى'!L21</f>
        <v>65365162296</v>
      </c>
      <c r="H13" s="5"/>
      <c r="I13" s="6"/>
      <c r="J13" s="6"/>
      <c r="K13" s="6"/>
      <c r="L13" s="7"/>
      <c r="M13" s="8"/>
    </row>
    <row r="14" spans="1:13" ht="25.2" x14ac:dyDescent="0.25">
      <c r="A14" s="17">
        <f>'التقرير اليومى'!A23</f>
        <v>46041</v>
      </c>
      <c r="B14" s="16">
        <f>'التقرير اليومى'!C22</f>
        <v>47</v>
      </c>
      <c r="C14" s="14">
        <f>'التقرير اليومى'!I22</f>
        <v>25389820</v>
      </c>
      <c r="D14" s="14">
        <f>'التقرير اليومى'!L22</f>
        <v>85642668253.179993</v>
      </c>
      <c r="E14" s="16">
        <f>'التقرير اليومى'!C23</f>
        <v>9</v>
      </c>
      <c r="F14" s="14">
        <f>'التقرير اليومى'!I23</f>
        <v>143220274</v>
      </c>
      <c r="G14" s="14">
        <f>'التقرير اليومى'!L23</f>
        <v>66917269431.599998</v>
      </c>
      <c r="H14" s="5"/>
      <c r="I14" s="6"/>
      <c r="J14" s="6"/>
      <c r="K14" s="6"/>
      <c r="L14" s="7"/>
      <c r="M14" s="8"/>
    </row>
    <row r="15" spans="1:13" ht="25.2" x14ac:dyDescent="0.25">
      <c r="A15" s="17">
        <f>'التقرير اليومى'!A25</f>
        <v>46042</v>
      </c>
      <c r="B15" s="16">
        <f>'التقرير اليومى'!C24</f>
        <v>35</v>
      </c>
      <c r="C15" s="14">
        <f>'التقرير اليومى'!I24</f>
        <v>47351745</v>
      </c>
      <c r="D15" s="14">
        <f>'التقرير اليومى'!L24</f>
        <v>84724863369.020004</v>
      </c>
      <c r="E15" s="16">
        <f>'التقرير اليومى'!C25</f>
        <v>12</v>
      </c>
      <c r="F15" s="14">
        <f>'التقرير اليومى'!I25</f>
        <v>128393326</v>
      </c>
      <c r="G15" s="14">
        <f>'التقرير اليومى'!L25</f>
        <v>67510351020</v>
      </c>
      <c r="H15" s="5"/>
      <c r="I15" s="6"/>
      <c r="J15" s="6"/>
      <c r="K15" s="6"/>
      <c r="L15" s="7"/>
      <c r="M15" s="8"/>
    </row>
    <row r="16" spans="1:13" ht="25.2" x14ac:dyDescent="0.25">
      <c r="A16" s="17">
        <f>'التقرير اليومى'!A26</f>
        <v>46043</v>
      </c>
      <c r="B16" s="16">
        <f>'التقرير اليومى'!C26</f>
        <v>29</v>
      </c>
      <c r="C16" s="14">
        <f>'التقرير اليومى'!I26</f>
        <v>61853063</v>
      </c>
      <c r="D16" s="14">
        <f>'التقرير اليومى'!L26</f>
        <v>86904649968.900009</v>
      </c>
      <c r="E16" s="16">
        <f>'التقرير اليومى'!C27</f>
        <v>2</v>
      </c>
      <c r="F16" s="14">
        <f>'التقرير اليومى'!I27</f>
        <v>438614100</v>
      </c>
      <c r="G16" s="14">
        <f>'التقرير اليومى'!L27</f>
        <v>69907914888</v>
      </c>
      <c r="H16" s="5"/>
      <c r="I16" s="6"/>
      <c r="J16" s="6"/>
      <c r="K16" s="6"/>
      <c r="L16" s="7"/>
      <c r="M16" s="8"/>
    </row>
    <row r="17" spans="1:13" ht="25.2" x14ac:dyDescent="0.25">
      <c r="A17" s="17">
        <f>'التقرير اليومى'!A28</f>
        <v>46044</v>
      </c>
      <c r="B17" s="16">
        <f>'التقرير اليومى'!C28</f>
        <v>17</v>
      </c>
      <c r="C17" s="14">
        <f>'التقرير اليومى'!I28</f>
        <v>112992117</v>
      </c>
      <c r="D17" s="14">
        <f>'التقرير اليومى'!L28</f>
        <v>89858834439.789993</v>
      </c>
      <c r="E17" s="16">
        <f>'التقرير اليومى'!C29</f>
        <v>2</v>
      </c>
      <c r="F17" s="14">
        <f>'التقرير اليومى'!I29</f>
        <v>427498121</v>
      </c>
      <c r="G17" s="14">
        <f>'التقرير اليومى'!L29</f>
        <v>74374954936.800003</v>
      </c>
      <c r="H17" s="5"/>
      <c r="I17" s="6"/>
      <c r="J17" s="6"/>
      <c r="K17" s="6"/>
      <c r="L17" s="7"/>
      <c r="M17" s="8"/>
    </row>
    <row r="18" spans="1:13" ht="25.2" x14ac:dyDescent="0.25">
      <c r="A18" s="17">
        <f>'التقرير اليومى'!A30</f>
        <v>46047</v>
      </c>
      <c r="B18" s="16">
        <f>'التقرير اليومى'!C30</f>
        <v>6</v>
      </c>
      <c r="C18" s="14">
        <f>'التقرير اليومى'!I30</f>
        <v>179757698</v>
      </c>
      <c r="D18" s="14">
        <f>'التقرير اليومى'!L30</f>
        <v>93329284158.020004</v>
      </c>
      <c r="E18" s="16">
        <f>'التقرير اليومى'!C31</f>
        <v>4</v>
      </c>
      <c r="F18" s="14">
        <f>'التقرير اليومى'!I31</f>
        <v>285224371</v>
      </c>
      <c r="G18" s="14">
        <f>'التقرير اليومى'!L31</f>
        <v>74198292336</v>
      </c>
      <c r="H18" s="5"/>
      <c r="I18" s="6"/>
      <c r="J18" s="6"/>
      <c r="K18" s="6"/>
      <c r="L18" s="7"/>
      <c r="M18" s="8"/>
    </row>
    <row r="19" spans="1:13" ht="25.2" x14ac:dyDescent="0.25">
      <c r="A19" s="17">
        <f>'التقرير اليومى'!A32</f>
        <v>46048</v>
      </c>
      <c r="B19" s="16">
        <f>'التقرير اليومى'!C32</f>
        <v>20</v>
      </c>
      <c r="C19" s="14">
        <f>'التقرير اليومى'!I32</f>
        <v>79067476</v>
      </c>
      <c r="D19" s="14">
        <f>'التقرير اليومى'!L32</f>
        <v>92210709455.449997</v>
      </c>
      <c r="E19" s="16">
        <f>'التقرير اليومى'!C33</f>
        <v>10</v>
      </c>
      <c r="F19" s="14">
        <f>'التقرير اليومى'!I33</f>
        <v>157594329</v>
      </c>
      <c r="G19" s="14">
        <f>'التقرير اليومى'!L33</f>
        <v>74450667480</v>
      </c>
      <c r="H19" s="5"/>
      <c r="I19" s="6"/>
      <c r="J19" s="6"/>
      <c r="K19" s="6"/>
      <c r="L19" s="7"/>
      <c r="M19" s="8"/>
    </row>
    <row r="20" spans="1:13" ht="25.2" x14ac:dyDescent="0.25">
      <c r="A20" s="17">
        <f>'التقرير اليومى'!A34</f>
        <v>46049</v>
      </c>
      <c r="B20" s="16">
        <f>'التقرير اليومى'!C34</f>
        <v>10</v>
      </c>
      <c r="C20" s="14">
        <f>'التقرير اليومى'!I34</f>
        <v>146043003</v>
      </c>
      <c r="D20" s="14">
        <f>'التقرير اليومى'!L34</f>
        <v>94648628679</v>
      </c>
      <c r="E20" s="16">
        <f>'التقرير اليومى'!C35</f>
        <v>4</v>
      </c>
      <c r="F20" s="14">
        <f>'التقرير اليومى'!I35</f>
        <v>328991571</v>
      </c>
      <c r="G20" s="14">
        <f>'التقرير اليومى'!L35</f>
        <v>79498170360</v>
      </c>
      <c r="H20" s="5"/>
      <c r="I20" s="6"/>
      <c r="J20" s="6"/>
      <c r="K20" s="6"/>
      <c r="L20" s="7"/>
      <c r="M20" s="8"/>
    </row>
    <row r="21" spans="1:13" ht="25.2" x14ac:dyDescent="0.25">
      <c r="A21" s="17">
        <f>'التقرير اليومى'!A36</f>
        <v>46050</v>
      </c>
      <c r="B21" s="16">
        <f>'التقرير اليومى'!C36</f>
        <v>9</v>
      </c>
      <c r="C21" s="14">
        <f>'التقرير اليومى'!I36</f>
        <v>210244285</v>
      </c>
      <c r="D21" s="14">
        <f>'التقرير اليومى'!L36</f>
        <v>95795884784.199997</v>
      </c>
      <c r="E21" s="16">
        <f>'التقرير اليومى'!C37</f>
        <v>7</v>
      </c>
      <c r="F21" s="14">
        <f>'التقرير اليومى'!I37</f>
        <v>238087439</v>
      </c>
      <c r="G21" s="14">
        <f>'التقرير اليومى'!L37</f>
        <v>80961946195.199997</v>
      </c>
      <c r="H21" s="5"/>
      <c r="I21" s="6"/>
      <c r="J21" s="6"/>
      <c r="K21" s="6"/>
      <c r="L21" s="7"/>
      <c r="M21" s="8"/>
    </row>
    <row r="22" spans="1:13" ht="25.2" x14ac:dyDescent="0.25">
      <c r="A22" s="17">
        <f>'التقرير اليومى'!A38</f>
        <v>46054</v>
      </c>
      <c r="B22" s="16">
        <f>'التقرير اليومى'!C38</f>
        <v>13</v>
      </c>
      <c r="C22" s="14">
        <f>'التقرير اليومى'!I38</f>
        <v>70851203</v>
      </c>
      <c r="D22" s="14">
        <f>'التقرير اليومى'!L38</f>
        <v>94648628679</v>
      </c>
      <c r="E22" s="16">
        <f>'التقرير اليومى'!C39</f>
        <v>4</v>
      </c>
      <c r="F22" s="14">
        <f>'التقرير اليومى'!I39</f>
        <v>160313764</v>
      </c>
      <c r="G22" s="14">
        <f>'التقرير اليومى'!L39</f>
        <v>82589765874</v>
      </c>
      <c r="H22" s="5"/>
      <c r="I22" s="6"/>
      <c r="J22" s="6"/>
      <c r="K22" s="6"/>
      <c r="L22" s="7"/>
      <c r="M22" s="8"/>
    </row>
    <row r="23" spans="1:13" ht="25.2" x14ac:dyDescent="0.25">
      <c r="A23" s="17">
        <f>'التقرير اليومى'!A40</f>
        <v>46055</v>
      </c>
      <c r="B23" s="16">
        <f>'التقرير اليومى'!C40</f>
        <v>26</v>
      </c>
      <c r="C23" s="14">
        <f>'التقرير اليومى'!I40</f>
        <v>59915758</v>
      </c>
      <c r="D23" s="14">
        <f>'التقرير اليومى'!L40</f>
        <v>93816868002.729996</v>
      </c>
      <c r="E23" s="16">
        <f>'التقرير اليومى'!C41</f>
        <v>17</v>
      </c>
      <c r="F23" s="14">
        <f>'التقرير اليومى'!I41</f>
        <v>122084717</v>
      </c>
      <c r="G23" s="14">
        <f>'التقرير اليومى'!L41</f>
        <v>83902116622.799988</v>
      </c>
      <c r="H23" s="5"/>
      <c r="I23" s="6"/>
      <c r="J23" s="6"/>
      <c r="K23" s="6"/>
      <c r="L23" s="7"/>
      <c r="M23" s="8"/>
    </row>
    <row r="24" spans="1:13" ht="25.2" x14ac:dyDescent="0.25">
      <c r="A24" s="17">
        <f>'التقرير اليومى'!A42</f>
        <v>46056</v>
      </c>
      <c r="B24" s="16">
        <f>'التقرير اليومى'!C42</f>
        <v>20</v>
      </c>
      <c r="C24" s="14">
        <f>'التقرير اليومى'!I42</f>
        <v>95271989</v>
      </c>
      <c r="D24" s="14">
        <f>'التقرير اليومى'!L42</f>
        <v>94591265873.73999</v>
      </c>
      <c r="E24" s="16">
        <f>'التقرير اليومى'!C43</f>
        <v>13</v>
      </c>
      <c r="F24" s="14">
        <f>'التقرير اليومى'!I43</f>
        <v>168955156</v>
      </c>
      <c r="G24" s="14">
        <f>'التقرير اليومى'!L43</f>
        <v>84671860812</v>
      </c>
      <c r="H24" s="5"/>
      <c r="I24" s="6"/>
      <c r="J24" s="6"/>
      <c r="K24" s="6"/>
      <c r="L24" s="7"/>
      <c r="M24" s="8"/>
    </row>
    <row r="25" spans="1:13" ht="25.2" x14ac:dyDescent="0.25">
      <c r="A25" s="17">
        <f>'التقرير اليومى'!A44</f>
        <v>46057</v>
      </c>
      <c r="B25" s="16">
        <f>'التقرير اليومى'!C44</f>
        <v>35</v>
      </c>
      <c r="C25" s="14">
        <f>'التقرير اليومى'!I44</f>
        <v>56784474</v>
      </c>
      <c r="D25" s="14">
        <f>'التقرير اليومى'!L44</f>
        <v>92899063118.570007</v>
      </c>
      <c r="E25" s="16">
        <f>'التقرير اليومى'!C45</f>
        <v>8</v>
      </c>
      <c r="F25" s="14">
        <f>'التقرير اليومى'!I45</f>
        <v>193119924</v>
      </c>
      <c r="G25" s="14">
        <f>'التقرير اليومى'!L45</f>
        <v>83245941248.399994</v>
      </c>
      <c r="H25" s="5"/>
      <c r="I25" s="6"/>
      <c r="J25" s="6"/>
      <c r="K25" s="6"/>
      <c r="L25" s="7"/>
      <c r="M25" s="8"/>
    </row>
    <row r="26" spans="1:13" ht="25.2" x14ac:dyDescent="0.25">
      <c r="A26" s="17">
        <f>'التقرير اليومى'!A46</f>
        <v>46058</v>
      </c>
      <c r="B26" s="16">
        <f>'التقرير اليومى'!C46</f>
        <v>36</v>
      </c>
      <c r="C26" s="14">
        <f>'التقرير اليومى'!I46</f>
        <v>45597141</v>
      </c>
      <c r="D26" s="14">
        <f>'التقرير اليومى'!L46</f>
        <v>91809169818.62999</v>
      </c>
      <c r="E26" s="16">
        <f>'التقرير اليومى'!C47</f>
        <v>18</v>
      </c>
      <c r="F26" s="14">
        <f>'التقرير اليومى'!I47</f>
        <v>95843227</v>
      </c>
      <c r="G26" s="14">
        <f>'التقرير اليومى'!L47</f>
        <v>82854759775.199997</v>
      </c>
      <c r="H26" s="5"/>
      <c r="I26" s="6"/>
      <c r="J26" s="6"/>
      <c r="K26" s="6"/>
      <c r="L26" s="7"/>
      <c r="M26" s="8"/>
    </row>
    <row r="27" spans="1:13" ht="25.2" x14ac:dyDescent="0.25">
      <c r="A27" s="17">
        <f>'التقرير اليومى'!A48</f>
        <v>46061</v>
      </c>
      <c r="B27" s="16">
        <f>'التقرير اليومى'!C48</f>
        <v>34</v>
      </c>
      <c r="C27" s="14">
        <f>'التقرير اليومى'!I48</f>
        <v>61116793</v>
      </c>
      <c r="D27" s="14">
        <f>'التقرير اليومى'!L48</f>
        <v>94648628679</v>
      </c>
      <c r="E27" s="16">
        <f>'التقرير اليومى'!C49</f>
        <v>8</v>
      </c>
      <c r="F27" s="14">
        <f>'التقرير اليومى'!I49</f>
        <v>152406621</v>
      </c>
      <c r="G27" s="14">
        <f>'التقرير اليومى'!L49</f>
        <v>87637268754</v>
      </c>
      <c r="H27" s="5"/>
      <c r="I27" s="6"/>
      <c r="J27" s="6"/>
      <c r="K27" s="6"/>
      <c r="L27" s="7"/>
      <c r="M27" s="8"/>
    </row>
    <row r="28" spans="1:13" ht="25.2" x14ac:dyDescent="0.25">
      <c r="A28" s="17">
        <f>'التقرير اليومى'!A50</f>
        <v>46062</v>
      </c>
      <c r="B28" s="16">
        <f>'التقرير اليومى'!C50</f>
        <v>57</v>
      </c>
      <c r="C28" s="14">
        <f>'التقرير اليومى'!I50</f>
        <v>32893124</v>
      </c>
      <c r="D28" s="14">
        <f>'التقرير اليومى'!L50</f>
        <v>93788186600.100006</v>
      </c>
      <c r="E28" s="16">
        <f>'التقرير اليومى'!C51</f>
        <v>20</v>
      </c>
      <c r="F28" s="14">
        <f>'التقرير اليومى'!I51</f>
        <v>90263051</v>
      </c>
      <c r="G28" s="14">
        <f>'التقرير اليومى'!L51</f>
        <v>86817049536</v>
      </c>
      <c r="H28" s="5"/>
      <c r="I28" s="6"/>
      <c r="J28" s="6"/>
      <c r="K28" s="6"/>
      <c r="L28" s="7"/>
      <c r="M28" s="8"/>
    </row>
    <row r="29" spans="1:13" ht="25.2" x14ac:dyDescent="0.25">
      <c r="A29" s="17" t="str">
        <f>'التقرير اليومى'!A52</f>
        <v>10/02/026</v>
      </c>
      <c r="B29" s="16">
        <f>'التقرير اليومى'!C52</f>
        <v>59</v>
      </c>
      <c r="C29" s="14">
        <f>'التقرير اليومى'!I52</f>
        <v>27293723</v>
      </c>
      <c r="D29" s="14">
        <f>'التقرير اليومى'!L52</f>
        <v>93472691171.170013</v>
      </c>
      <c r="E29" s="16">
        <f>'التقرير اليومى'!C53</f>
        <v>17</v>
      </c>
      <c r="F29" s="14">
        <f>'التقرير اليومى'!I53</f>
        <v>103478209</v>
      </c>
      <c r="G29" s="14">
        <f>'التقرير اليومى'!L53</f>
        <v>87447987396</v>
      </c>
      <c r="H29" s="5"/>
      <c r="I29" s="6"/>
      <c r="J29" s="6"/>
      <c r="K29" s="6"/>
      <c r="L29" s="7"/>
      <c r="M29" s="8"/>
    </row>
    <row r="30" spans="1:13" ht="25.2" x14ac:dyDescent="0.25">
      <c r="A30" s="17">
        <f>'التقرير اليومى'!A54</f>
        <v>46064</v>
      </c>
      <c r="B30" s="16">
        <f>'التقرير اليومى'!C54</f>
        <v>48</v>
      </c>
      <c r="C30" s="14">
        <f>'التقرير اليومى'!I54</f>
        <v>35352899</v>
      </c>
      <c r="D30" s="14">
        <f>'التقرير اليومى'!L54</f>
        <v>92354116468.600006</v>
      </c>
      <c r="E30" s="16">
        <f>'التقرير اليومى'!C55</f>
        <v>20</v>
      </c>
      <c r="F30" s="14">
        <f>'التقرير اليومى'!I55</f>
        <v>94633019</v>
      </c>
      <c r="G30" s="14">
        <f>'التقرير اليومى'!L55</f>
        <v>87763456326</v>
      </c>
      <c r="H30" s="5"/>
      <c r="I30" s="6"/>
      <c r="J30" s="6"/>
      <c r="K30" s="6"/>
      <c r="L30" s="7"/>
      <c r="M30" s="8"/>
    </row>
    <row r="31" spans="1:13" ht="25.2" x14ac:dyDescent="0.25">
      <c r="A31" s="17">
        <f>'التقرير اليومى'!A56</f>
        <v>46065</v>
      </c>
      <c r="B31" s="16">
        <f>'التقرير اليومى'!C56</f>
        <v>51</v>
      </c>
      <c r="C31" s="14">
        <f>'التقرير اليومى'!I56</f>
        <v>28931337</v>
      </c>
      <c r="D31" s="14">
        <f>'التقرير اليومى'!L56</f>
        <v>92927744521.199997</v>
      </c>
      <c r="E31" s="16">
        <f>'التقرير اليومى'!C57</f>
        <v>12</v>
      </c>
      <c r="F31" s="14">
        <f>'التقرير اليومى'!I57</f>
        <v>117609926</v>
      </c>
      <c r="G31" s="14">
        <f>'التقرير اليومى'!L57</f>
        <v>87977975198.399994</v>
      </c>
      <c r="H31" s="5"/>
      <c r="I31" s="6"/>
      <c r="J31" s="6"/>
      <c r="K31" s="6"/>
      <c r="L31" s="7"/>
      <c r="M31" s="8"/>
    </row>
    <row r="32" spans="1:13" ht="25.2" x14ac:dyDescent="0.25">
      <c r="A32" s="17">
        <f>'التقرير اليومى'!A58</f>
        <v>46068</v>
      </c>
      <c r="B32" s="16">
        <f>'التقرير اليومى'!C58</f>
        <v>33</v>
      </c>
      <c r="C32" s="14">
        <f>'التقرير اليومى'!I58</f>
        <v>69231310</v>
      </c>
      <c r="D32" s="14">
        <f>'التقرير اليومى'!L58</f>
        <v>96512919849.949997</v>
      </c>
      <c r="E32" s="16">
        <f>'التقرير اليومى'!C59</f>
        <v>20</v>
      </c>
      <c r="F32" s="14">
        <f>'التقرير اليومى'!I59</f>
        <v>104543864</v>
      </c>
      <c r="G32" s="14">
        <f>'التقرير اليومى'!L59</f>
        <v>90691007996.400009</v>
      </c>
      <c r="H32" s="5"/>
      <c r="I32" s="6"/>
      <c r="J32" s="6"/>
      <c r="K32" s="6"/>
      <c r="L32" s="7"/>
      <c r="M32" s="8"/>
    </row>
    <row r="33" spans="1:13" ht="25.2" x14ac:dyDescent="0.25">
      <c r="A33" s="17">
        <f>'التقرير اليومى'!A60</f>
        <v>46069</v>
      </c>
      <c r="B33" s="16">
        <f>'التقرير اليومى'!C60</f>
        <v>11</v>
      </c>
      <c r="C33" s="14">
        <f>'التقرير اليومى'!I60</f>
        <v>213551197</v>
      </c>
      <c r="D33" s="14">
        <f>'التقرير اليومى'!L60</f>
        <v>100442272010.26001</v>
      </c>
      <c r="E33" s="16">
        <f>'التقرير اليومى'!C61</f>
        <v>26</v>
      </c>
      <c r="F33" s="14">
        <f>'التقرير اليومى'!I61</f>
        <v>98552563</v>
      </c>
      <c r="G33" s="14">
        <f>'التقرير اليومى'!L61</f>
        <v>88709863116</v>
      </c>
      <c r="H33" s="5"/>
      <c r="I33" s="6"/>
      <c r="J33" s="6"/>
      <c r="K33" s="6"/>
      <c r="L33" s="7"/>
      <c r="M33" s="8"/>
    </row>
    <row r="34" spans="1:13" ht="25.2" x14ac:dyDescent="0.25">
      <c r="A34" s="17">
        <f>'التقرير اليومى'!A62</f>
        <v>46070</v>
      </c>
      <c r="B34" s="16">
        <f>'التقرير اليومى'!C62</f>
        <v>3</v>
      </c>
      <c r="C34" s="14">
        <f>'التقرير اليومى'!I62</f>
        <v>362206982</v>
      </c>
      <c r="D34" s="14">
        <f>'التقرير اليومى'!L62</f>
        <v>107756029680.91</v>
      </c>
      <c r="E34" s="16">
        <f>'التقرير اليومى'!C63</f>
        <v>11</v>
      </c>
      <c r="F34" s="14">
        <f>'التقرير اليومى'!I63</f>
        <v>173233895</v>
      </c>
      <c r="G34" s="14">
        <f>'التقرير اليومى'!L63</f>
        <v>87056805922.799988</v>
      </c>
      <c r="H34" s="5"/>
      <c r="I34" s="6"/>
      <c r="J34" s="6"/>
      <c r="K34" s="6"/>
      <c r="L34" s="7"/>
      <c r="M34" s="8"/>
    </row>
    <row r="35" spans="1:13" ht="25.2" x14ac:dyDescent="0.25">
      <c r="A35" s="17">
        <f>'التقرير اليومى'!A64</f>
        <v>46071</v>
      </c>
      <c r="B35" s="16">
        <f>'التقرير اليومى'!C64</f>
        <v>19</v>
      </c>
      <c r="C35" s="14">
        <f>'التقرير اليومى'!I64</f>
        <v>130585596</v>
      </c>
      <c r="D35" s="14">
        <f>'التقرير اليومى'!L64</f>
        <v>106149871133.62999</v>
      </c>
      <c r="E35" s="16">
        <f>'التقرير اليومى'!C65</f>
        <v>9</v>
      </c>
      <c r="F35" s="14">
        <f>'التقرير اليومى'!I65</f>
        <v>215264757</v>
      </c>
      <c r="G35" s="14">
        <f>'التقرير اليومى'!L65</f>
        <v>86690861964</v>
      </c>
      <c r="H35" s="5"/>
      <c r="I35" s="6"/>
      <c r="J35" s="6"/>
      <c r="K35" s="6"/>
      <c r="L35" s="7"/>
      <c r="M35" s="8"/>
    </row>
    <row r="36" spans="1:13" ht="25.2" x14ac:dyDescent="0.25">
      <c r="A36" s="17">
        <f>'التقرير اليومى'!A66</f>
        <v>46072</v>
      </c>
      <c r="B36" s="16">
        <f>'التقرير اليومى'!C66</f>
        <v>28</v>
      </c>
      <c r="C36" s="14">
        <f>'التقرير اليومى'!I66</f>
        <v>47867575</v>
      </c>
      <c r="D36" s="14">
        <f>'التقرير اليومى'!L66</f>
        <v>102277881778.57999</v>
      </c>
      <c r="E36" s="16">
        <f>'التقرير اليومى'!C67</f>
        <v>26</v>
      </c>
      <c r="F36" s="14">
        <f>'التقرير اليومى'!I67</f>
        <v>53464208</v>
      </c>
      <c r="G36" s="14">
        <f>'التقرير اليومى'!L67</f>
        <v>85365892458</v>
      </c>
      <c r="H36" s="5"/>
      <c r="I36" s="6"/>
      <c r="J36" s="6"/>
      <c r="K36" s="6"/>
      <c r="L36" s="7"/>
      <c r="M36" s="8"/>
    </row>
    <row r="37" spans="1:13" ht="25.2" x14ac:dyDescent="0.25">
      <c r="A37" s="17">
        <f>'التقرير اليومى'!A68</f>
        <v>46075</v>
      </c>
      <c r="B37" s="16">
        <f>'التقرير اليومى'!C68</f>
        <v>25</v>
      </c>
      <c r="C37" s="14">
        <f>'التقرير اليومى'!I68</f>
        <v>46747182</v>
      </c>
      <c r="D37" s="14">
        <f>'التقرير اليومى'!L68</f>
        <v>101101944270.75</v>
      </c>
      <c r="E37" s="16">
        <f>'التقرير اليومى'!C69</f>
        <v>9</v>
      </c>
      <c r="F37" s="14">
        <f>'التقرير اليومى'!I69</f>
        <v>122953687</v>
      </c>
      <c r="G37" s="14">
        <f>'التقرير اليومى'!L69</f>
        <v>84545673240</v>
      </c>
      <c r="H37" s="5"/>
      <c r="I37" s="6"/>
      <c r="J37" s="6"/>
      <c r="K37" s="6"/>
      <c r="L37" s="7"/>
      <c r="M37" s="8"/>
    </row>
    <row r="38" spans="1:13" ht="25.2" x14ac:dyDescent="0.25">
      <c r="A38" s="17">
        <f>'التقرير اليومى'!A70</f>
        <v>46076</v>
      </c>
      <c r="B38" s="16">
        <f>'التقرير اليومى'!C70</f>
        <v>13</v>
      </c>
      <c r="C38" s="14">
        <f>'التقرير اليومى'!I70</f>
        <v>102350749</v>
      </c>
      <c r="D38" s="14">
        <f>'التقرير اليومى'!L70</f>
        <v>106694817783.60001</v>
      </c>
      <c r="E38" s="16">
        <f>'التقرير اليومى'!C71</f>
        <v>4</v>
      </c>
      <c r="F38" s="14">
        <f>'التقرير اليومى'!I71</f>
        <v>285617553</v>
      </c>
      <c r="G38" s="14">
        <f>'التقرير اليومى'!L71</f>
        <v>88457487972</v>
      </c>
      <c r="H38" s="5"/>
      <c r="I38" s="6"/>
      <c r="J38" s="6"/>
      <c r="K38" s="6"/>
      <c r="L38" s="7"/>
      <c r="M38" s="8"/>
    </row>
    <row r="39" spans="1:13" ht="25.2" x14ac:dyDescent="0.25">
      <c r="A39" s="17">
        <f>'التقرير اليومى'!A72</f>
        <v>46077</v>
      </c>
      <c r="B39" s="16">
        <f>'التقرير اليومى'!C72</f>
        <v>23</v>
      </c>
      <c r="C39" s="14">
        <f>'التقرير اليومى'!I72</f>
        <v>47898202</v>
      </c>
      <c r="D39" s="14">
        <f>'التقرير اليومى'!L72</f>
        <v>103855358923.23</v>
      </c>
      <c r="E39" s="16">
        <f>'التقرير اليومى'!C73</f>
        <v>25</v>
      </c>
      <c r="F39" s="14">
        <f>'التقرير اليومى'!I73</f>
        <v>44033087</v>
      </c>
      <c r="G39" s="14">
        <f>'التقرير اليومى'!L73</f>
        <v>87094662194.399994</v>
      </c>
      <c r="H39" s="5"/>
      <c r="I39" s="6"/>
      <c r="J39" s="6"/>
      <c r="K39" s="6"/>
      <c r="L39" s="7"/>
      <c r="M39" s="8"/>
    </row>
    <row r="40" spans="1:13" ht="25.2" x14ac:dyDescent="0.25">
      <c r="A40" s="17">
        <f>'التقرير اليومى'!A74</f>
        <v>46078</v>
      </c>
      <c r="B40" s="16">
        <f>'التقرير اليومى'!C74</f>
        <v>28</v>
      </c>
      <c r="C40" s="14">
        <f>'التقرير اليومى'!I74</f>
        <v>40631814</v>
      </c>
      <c r="D40" s="14">
        <f>'التقرير اليومى'!L74</f>
        <v>101818979336.5</v>
      </c>
      <c r="E40" s="16">
        <f>'التقرير اليومى'!C75</f>
        <v>24</v>
      </c>
      <c r="F40" s="14">
        <f>'التقرير اليومى'!I75</f>
        <v>53916919</v>
      </c>
      <c r="G40" s="14">
        <f>'التقرير اليومى'!L75</f>
        <v>86186111676</v>
      </c>
      <c r="H40" s="5"/>
      <c r="I40" s="6"/>
      <c r="J40" s="6"/>
      <c r="K40" s="6"/>
      <c r="L40" s="7"/>
      <c r="M40" s="8"/>
    </row>
    <row r="41" spans="1:13" ht="25.2" x14ac:dyDescent="0.25">
      <c r="A41" s="17">
        <f>'التقرير اليومى'!A76</f>
        <v>46079</v>
      </c>
      <c r="B41" s="16">
        <f>'التقرير اليومى'!C76</f>
        <v>17</v>
      </c>
      <c r="C41" s="14">
        <f>'التقرير اليومى'!I76</f>
        <v>76423257</v>
      </c>
      <c r="D41" s="14">
        <f>'التقرير اليومى'!L76</f>
        <v>104715801002.12999</v>
      </c>
      <c r="E41" s="16">
        <f>'التقرير اليومى'!C77</f>
        <v>9</v>
      </c>
      <c r="F41" s="14">
        <f>'التقرير اليومى'!I77</f>
        <v>157778475</v>
      </c>
      <c r="G41" s="14">
        <f>'التقرير اليومى'!L77</f>
        <v>87952737684</v>
      </c>
      <c r="H41" s="5"/>
      <c r="I41" s="6"/>
      <c r="J41" s="6"/>
      <c r="K41" s="6"/>
      <c r="L41" s="7"/>
      <c r="M41" s="8"/>
    </row>
    <row r="42" spans="1:13" ht="25.2" x14ac:dyDescent="0.25">
      <c r="A42" s="17">
        <f>'التقرير اليومى'!A78</f>
        <v>46082</v>
      </c>
      <c r="B42" s="16">
        <f>'التقرير اليومى'!C78</f>
        <v>14</v>
      </c>
      <c r="C42" s="14">
        <f>'التقرير اليومى'!I78</f>
        <v>92505579</v>
      </c>
      <c r="D42" s="14">
        <f>'التقرير اليومى'!L78</f>
        <v>103253049468</v>
      </c>
      <c r="E42" s="16">
        <f>'التقرير اليومى'!C79</f>
        <v>5</v>
      </c>
      <c r="F42" s="14">
        <f>'التقرير اليومى'!I79</f>
        <v>178155140</v>
      </c>
      <c r="G42" s="14">
        <f>'التقرير اليومى'!L79</f>
        <v>86817049536</v>
      </c>
      <c r="H42" s="5"/>
      <c r="I42" s="6"/>
      <c r="J42" s="6"/>
      <c r="K42" s="6"/>
      <c r="L42" s="7"/>
      <c r="M42" s="8"/>
    </row>
    <row r="43" spans="1:13" ht="25.2" x14ac:dyDescent="0.25">
      <c r="A43" s="17">
        <f>'التقرير اليومى'!A80</f>
        <v>46083</v>
      </c>
      <c r="B43" s="16">
        <f>'التقرير اليومى'!C80</f>
        <v>17</v>
      </c>
      <c r="C43" s="14">
        <f>'التقرير اليومى'!I80</f>
        <v>58167208</v>
      </c>
      <c r="D43" s="14">
        <f>'التقرير اليومى'!L80</f>
        <v>103281730870.62999</v>
      </c>
      <c r="E43" s="16">
        <f>'التقرير اليومى'!C81</f>
        <v>11</v>
      </c>
      <c r="F43" s="14">
        <f>'التقرير اليومى'!I81</f>
        <v>100532119</v>
      </c>
      <c r="G43" s="14">
        <f>'التقرير اليومى'!L81</f>
        <v>85555173816</v>
      </c>
      <c r="H43" s="5"/>
      <c r="I43" s="6"/>
      <c r="J43" s="6"/>
      <c r="K43" s="6"/>
      <c r="L43" s="7"/>
      <c r="M43" s="8"/>
    </row>
    <row r="44" spans="1:13" ht="25.2" x14ac:dyDescent="0.25">
      <c r="A44" s="17">
        <f>'التقرير اليومى'!A82</f>
        <v>46084</v>
      </c>
      <c r="B44" s="16">
        <f>'التقرير اليومى'!C82</f>
        <v>5</v>
      </c>
      <c r="C44" s="14">
        <f>'التقرير اليومى'!I82</f>
        <v>234839421</v>
      </c>
      <c r="D44" s="14">
        <f>'التقرير اليومى'!L82</f>
        <v>110423400125.5</v>
      </c>
      <c r="E44" s="16">
        <f>'التقرير اليومى'!C83</f>
        <v>2</v>
      </c>
      <c r="F44" s="14">
        <f>'التقرير اليومى'!I83</f>
        <v>411797276</v>
      </c>
      <c r="G44" s="14">
        <f>'التقرير اليومى'!L83</f>
        <v>98287499830.800003</v>
      </c>
      <c r="H44" s="5"/>
      <c r="I44" s="6"/>
      <c r="J44" s="6"/>
      <c r="K44" s="6"/>
      <c r="L44" s="7"/>
      <c r="M44" s="8"/>
    </row>
    <row r="45" spans="1:13" ht="25.2" x14ac:dyDescent="0.25">
      <c r="A45" s="17">
        <f>'التقرير اليومى'!A84</f>
        <v>46085</v>
      </c>
      <c r="B45" s="16">
        <f>'التقرير اليومى'!C84</f>
        <v>6</v>
      </c>
      <c r="C45" s="14">
        <f>'التقرير اليومى'!I84</f>
        <v>339068101</v>
      </c>
      <c r="D45" s="14">
        <f>'التقرير اليومى'!L84</f>
        <v>116245724859.39</v>
      </c>
      <c r="E45" s="16">
        <f>'التقرير اليومى'!C85</f>
        <v>4</v>
      </c>
      <c r="F45" s="14">
        <f>'التقرير اليومى'!I85</f>
        <v>458576007</v>
      </c>
      <c r="G45" s="14">
        <f>'التقرير اليومى'!L85</f>
        <v>99233906620.800003</v>
      </c>
      <c r="H45" s="5"/>
      <c r="I45" s="6"/>
      <c r="J45" s="6"/>
      <c r="K45" s="6"/>
      <c r="L45" s="7"/>
      <c r="M45" s="8"/>
    </row>
    <row r="46" spans="1:13" ht="25.2" x14ac:dyDescent="0.25">
      <c r="A46" s="17">
        <f>'التقرير اليومى'!A86</f>
        <v>46086</v>
      </c>
      <c r="B46" s="16">
        <f>'التقرير اليومى'!C86</f>
        <v>12</v>
      </c>
      <c r="C46" s="14">
        <f>'التقرير اليومى'!I86</f>
        <v>126159119</v>
      </c>
      <c r="D46" s="14">
        <f>'التقرير اليومى'!L86</f>
        <v>113721761427.95</v>
      </c>
      <c r="E46" s="16">
        <f>'التقرير اليومى'!C87</f>
        <v>15</v>
      </c>
      <c r="F46" s="14">
        <f>'التقرير اليومى'!I87</f>
        <v>103197498</v>
      </c>
      <c r="G46" s="14">
        <f>'التقرير اليومى'!L87</f>
        <v>98337974859.600006</v>
      </c>
      <c r="H46" s="5"/>
      <c r="I46" s="6"/>
      <c r="J46" s="6"/>
      <c r="K46" s="6"/>
      <c r="L46" s="7"/>
      <c r="M46" s="8"/>
    </row>
    <row r="47" spans="1:13" ht="25.2" x14ac:dyDescent="0.25">
      <c r="A47" s="17">
        <f>'التقرير اليومى'!A88</f>
        <v>46089</v>
      </c>
      <c r="B47" s="16">
        <f>'التقرير اليومى'!C88</f>
        <v>7</v>
      </c>
      <c r="C47" s="14">
        <f>'التقرير اليومى'!I88</f>
        <v>309462620</v>
      </c>
      <c r="D47" s="14">
        <f>'التقرير اليومى'!L88</f>
        <v>124936189856.28001</v>
      </c>
      <c r="E47" s="16">
        <f>'التقرير اليومى'!C89</f>
        <v>4</v>
      </c>
      <c r="F47" s="14">
        <f>'التقرير اليومى'!I89</f>
        <v>458905305</v>
      </c>
      <c r="G47" s="14">
        <f>'التقرير اليومى'!L89</f>
        <v>109783187640</v>
      </c>
      <c r="H47" s="5"/>
      <c r="I47" s="6"/>
      <c r="J47" s="6"/>
      <c r="K47" s="6"/>
      <c r="L47" s="7"/>
      <c r="M47" s="8"/>
    </row>
    <row r="48" spans="1:13" ht="25.2" x14ac:dyDescent="0.25">
      <c r="A48" s="17">
        <f>'التقرير اليومى'!A90</f>
        <v>46090</v>
      </c>
      <c r="B48" s="16">
        <f>'التقرير اليومى'!C90</f>
        <v>18</v>
      </c>
      <c r="C48" s="14">
        <f>'التقرير اليومى'!I90</f>
        <v>169133609</v>
      </c>
      <c r="D48" s="14">
        <f>'التقرير اليومى'!L90</f>
        <v>124190473387.89999</v>
      </c>
      <c r="E48" s="16">
        <f>'التقرير اليومى'!C91</f>
        <v>9</v>
      </c>
      <c r="F48" s="14">
        <f>'التقرير اليومى'!I91</f>
        <v>262868356</v>
      </c>
      <c r="G48" s="14">
        <f>'التقرير اليومى'!L91</f>
        <v>106123748052</v>
      </c>
      <c r="H48" s="5"/>
      <c r="I48" s="6"/>
      <c r="J48" s="6"/>
      <c r="K48" s="6"/>
      <c r="L48" s="7"/>
      <c r="M48" s="8"/>
    </row>
    <row r="49" spans="1:13" ht="25.2" x14ac:dyDescent="0.25">
      <c r="A49" s="17">
        <f>'التقرير اليومى'!A92</f>
        <v>46091</v>
      </c>
      <c r="B49" s="16">
        <f>'التقرير اليومى'!C92</f>
        <v>19</v>
      </c>
      <c r="C49" s="14">
        <f>'التقرير اليومى'!I92</f>
        <v>101151733</v>
      </c>
      <c r="D49" s="14">
        <f>'التقرير اليومى'!L92</f>
        <v>120175077019.7</v>
      </c>
      <c r="E49" s="16">
        <f>'التقرير اليومى'!C93</f>
        <v>11</v>
      </c>
      <c r="F49" s="14">
        <f>'التقرير اليومى'!I93</f>
        <v>167770816</v>
      </c>
      <c r="G49" s="14">
        <f>'التقرير اليومى'!L93</f>
        <v>100823870028</v>
      </c>
      <c r="H49" s="5"/>
      <c r="I49" s="6"/>
      <c r="J49" s="6"/>
      <c r="K49" s="6"/>
      <c r="L49" s="7"/>
      <c r="M49" s="8"/>
    </row>
    <row r="50" spans="1:13" ht="25.2" x14ac:dyDescent="0.25">
      <c r="A50" s="17">
        <f>'التقرير اليومى'!A94</f>
        <v>46092</v>
      </c>
      <c r="B50" s="16">
        <f>'التقرير اليومى'!C94</f>
        <v>11</v>
      </c>
      <c r="C50" s="14">
        <f>'التقرير اليومى'!I94</f>
        <v>105432812</v>
      </c>
      <c r="D50" s="14">
        <f>'التقرير اليومى'!L94</f>
        <v>124792782843.12999</v>
      </c>
      <c r="E50" s="16">
        <f>'التقرير اليومى'!C95</f>
        <v>5</v>
      </c>
      <c r="F50" s="14">
        <f>'التقرير اليومى'!I95</f>
        <v>157664780</v>
      </c>
      <c r="G50" s="14">
        <f>'التقرير اليومى'!L95</f>
        <v>107259436200</v>
      </c>
      <c r="H50" s="5"/>
      <c r="I50" s="6"/>
      <c r="J50" s="6"/>
      <c r="K50" s="6"/>
      <c r="L50" s="7"/>
      <c r="M50" s="8"/>
    </row>
    <row r="51" spans="1:13" ht="25.2" x14ac:dyDescent="0.25">
      <c r="A51" s="17">
        <f>'التقرير اليومى'!A96</f>
        <v>46093</v>
      </c>
      <c r="B51" s="16">
        <f>'التقرير اليومى'!C96</f>
        <v>5</v>
      </c>
      <c r="C51" s="14">
        <f>'التقرير اليومى'!I96</f>
        <v>229285229</v>
      </c>
      <c r="D51" s="14">
        <f>'التقرير اليومى'!L96</f>
        <v>127632241703.5</v>
      </c>
      <c r="E51" s="16">
        <f>'التقرير اليومى'!C97</f>
        <v>4</v>
      </c>
      <c r="F51" s="14">
        <f>'التقرير اليومى'!I97</f>
        <v>347846636</v>
      </c>
      <c r="G51" s="14">
        <f>'التقرير اليومى'!L97</f>
        <v>111120775903.2</v>
      </c>
      <c r="H51" s="5"/>
      <c r="I51" s="6"/>
      <c r="J51" s="6"/>
      <c r="K51" s="6"/>
      <c r="L51" s="7"/>
      <c r="M51" s="8"/>
    </row>
    <row r="52" spans="1:13" ht="25.2" x14ac:dyDescent="0.25">
      <c r="A52" s="17">
        <f>'التقرير اليومى'!A98</f>
        <v>46096</v>
      </c>
      <c r="B52" s="16">
        <f>'التقرير اليومى'!C98</f>
        <v>5</v>
      </c>
      <c r="C52" s="14">
        <f>'التقرير اليومى'!I98</f>
        <v>202704939</v>
      </c>
      <c r="D52" s="14">
        <f>'التقرير اليومى'!L98</f>
        <v>128005099937.69</v>
      </c>
      <c r="E52" s="16">
        <f>'التقرير اليومى'!C99</f>
        <v>2</v>
      </c>
      <c r="F52" s="14">
        <f>'التقرير اليومى'!I99</f>
        <v>287230609</v>
      </c>
      <c r="G52" s="14">
        <f>'التقرير اليومى'!L99</f>
        <v>108521311920</v>
      </c>
      <c r="H52" s="5"/>
      <c r="I52" s="6"/>
      <c r="J52" s="6"/>
      <c r="K52" s="6"/>
      <c r="L52" s="7"/>
      <c r="M52" s="8"/>
    </row>
    <row r="53" spans="1:13" ht="25.2" x14ac:dyDescent="0.25">
      <c r="A53" s="17">
        <f>'التقرير اليومى'!A100</f>
        <v>46097</v>
      </c>
      <c r="B53" s="16">
        <f>'التقرير اليومى'!C100</f>
        <v>10</v>
      </c>
      <c r="C53" s="14">
        <f>'التقرير اليومى'!I100</f>
        <v>103000860</v>
      </c>
      <c r="D53" s="14">
        <f>'التقرير اليومى'!L100</f>
        <v>123903659361.60001</v>
      </c>
      <c r="E53" s="16">
        <f>'التقرير اليومى'!C101</f>
        <v>6</v>
      </c>
      <c r="F53" s="14">
        <f>'التقرير اليومى'!I101</f>
        <v>173030597</v>
      </c>
      <c r="G53" s="14">
        <f>'التقرير اليومى'!L101</f>
        <v>109366768652.40001</v>
      </c>
      <c r="H53" s="5"/>
      <c r="I53" s="6"/>
      <c r="J53" s="6"/>
      <c r="K53" s="6"/>
      <c r="L53" s="7"/>
      <c r="M53" s="8"/>
    </row>
    <row r="54" spans="1:13" ht="25.2" x14ac:dyDescent="0.25">
      <c r="A54" s="17">
        <f>'التقرير اليومى'!A102</f>
        <v>46098</v>
      </c>
      <c r="B54" s="16">
        <f>'التقرير اليومى'!C102</f>
        <v>9</v>
      </c>
      <c r="C54" s="14">
        <f>'التقرير اليومى'!I102</f>
        <v>124946922</v>
      </c>
      <c r="D54" s="14">
        <f>'التقرير اليومى'!L102</f>
        <v>122985854477.44</v>
      </c>
      <c r="E54" s="16">
        <f>'التقرير اليومى'!C103</f>
        <v>8</v>
      </c>
      <c r="F54" s="14">
        <f>'التقرير اليومى'!I103</f>
        <v>133615757</v>
      </c>
      <c r="G54" s="14">
        <f>'التقرير اليومى'!L103</f>
        <v>110477219286</v>
      </c>
      <c r="H54" s="5"/>
      <c r="I54" s="6"/>
      <c r="J54" s="6"/>
      <c r="K54" s="6"/>
      <c r="L54" s="7"/>
      <c r="M54" s="8"/>
    </row>
    <row r="55" spans="1:13" ht="25.2" x14ac:dyDescent="0.25">
      <c r="A55" s="17">
        <f>'التقرير اليومى'!A104</f>
        <v>46099</v>
      </c>
      <c r="B55" s="16">
        <f>'التقرير اليومى'!C104</f>
        <v>21</v>
      </c>
      <c r="C55" s="14">
        <f>'التقرير اليومى'!I104</f>
        <v>69474307</v>
      </c>
      <c r="D55" s="14">
        <f>'التقرير اليومى'!L104</f>
        <v>123874977958.96999</v>
      </c>
      <c r="E55" s="16">
        <f>'التقرير اليومى'!C105</f>
        <v>18</v>
      </c>
      <c r="F55" s="14">
        <f>'التقرير اليومى'!I105</f>
        <v>88837621</v>
      </c>
      <c r="G55" s="14">
        <f>'التقرير اليومى'!L105</f>
        <v>109783187640</v>
      </c>
      <c r="H55" s="5"/>
      <c r="I55" s="6"/>
      <c r="J55" s="6"/>
      <c r="K55" s="6"/>
      <c r="L55" s="7"/>
      <c r="M55" s="8"/>
    </row>
    <row r="56" spans="1:13" ht="25.2" x14ac:dyDescent="0.25">
      <c r="A56" s="17">
        <f>'التقرير اليومى'!A106</f>
        <v>46105</v>
      </c>
      <c r="B56" s="16">
        <f>'التقرير اليومى'!C106</f>
        <v>9</v>
      </c>
      <c r="C56" s="14">
        <f>'التقرير اليومى'!I106</f>
        <v>177114249</v>
      </c>
      <c r="D56" s="14">
        <f>'التقرير اليومى'!L106</f>
        <v>130557744771.76001</v>
      </c>
      <c r="E56" s="16">
        <f>'التقرير اليومى'!C107</f>
        <v>3</v>
      </c>
      <c r="F56" s="14">
        <f>'التقرير اليومى'!I107</f>
        <v>382057438</v>
      </c>
      <c r="G56" s="14">
        <f>'التقرير اليومى'!L107</f>
        <v>118616317680</v>
      </c>
      <c r="H56" s="5"/>
      <c r="I56" s="6"/>
      <c r="J56" s="6"/>
      <c r="K56" s="6"/>
      <c r="L56" s="7"/>
      <c r="M56" s="8"/>
    </row>
    <row r="57" spans="1:13" ht="25.2" x14ac:dyDescent="0.25">
      <c r="A57" s="17">
        <f>'التقرير اليومى'!A108</f>
        <v>46106</v>
      </c>
      <c r="B57" s="16">
        <f>'التقرير اليومى'!C108</f>
        <v>18</v>
      </c>
      <c r="C57" s="14">
        <f>'التقرير اليومى'!I108</f>
        <v>112518560</v>
      </c>
      <c r="D57" s="14">
        <f>'التقرير اليومى'!L108</f>
        <v>125595862116.77</v>
      </c>
      <c r="E57" s="16">
        <f>'التقرير اليومى'!C109</f>
        <v>10</v>
      </c>
      <c r="F57" s="14">
        <f>'التقرير اليومى'!I109</f>
        <v>149247463</v>
      </c>
      <c r="G57" s="14">
        <f>'التقرير اليومى'!L109</f>
        <v>116723504100</v>
      </c>
      <c r="H57" s="5"/>
      <c r="I57" s="6"/>
      <c r="J57" s="6"/>
      <c r="K57" s="6"/>
      <c r="L57" s="7"/>
      <c r="M57" s="8"/>
    </row>
    <row r="58" spans="1:13" ht="25.2" x14ac:dyDescent="0.25">
      <c r="A58" s="17">
        <f>'التقرير اليومى'!A110</f>
        <v>46107</v>
      </c>
      <c r="B58" s="16">
        <f>'التقرير اليومى'!C110</f>
        <v>6</v>
      </c>
      <c r="C58" s="14">
        <f>'التقرير اليومى'!I110</f>
        <v>177422958</v>
      </c>
      <c r="D58" s="14">
        <f>'التقرير اليومى'!L110</f>
        <v>120404528240.73999</v>
      </c>
      <c r="E58" s="16">
        <f>'التقرير اليومى'!C111</f>
        <v>3</v>
      </c>
      <c r="F58" s="14">
        <f>'التقرير اليومى'!I111</f>
        <v>262081969</v>
      </c>
      <c r="G58" s="14">
        <f>'التقرير اليومى'!L111</f>
        <v>112306939080</v>
      </c>
      <c r="H58" s="5"/>
      <c r="I58" s="6"/>
      <c r="J58" s="6"/>
      <c r="K58" s="6"/>
      <c r="L58" s="7"/>
      <c r="M58" s="8"/>
    </row>
    <row r="59" spans="1:13" ht="25.2" x14ac:dyDescent="0.25">
      <c r="A59" s="17">
        <f>'التقرير اليومى'!A112</f>
        <v>46110</v>
      </c>
      <c r="B59" s="16">
        <f>'التقرير اليومى'!C112</f>
        <v>2</v>
      </c>
      <c r="C59" s="14">
        <f>'التقرير اليومى'!I112</f>
        <v>333671383</v>
      </c>
      <c r="D59" s="14">
        <f>'التقرير اليومى'!L112</f>
        <v>115729459612.05</v>
      </c>
      <c r="E59" s="16">
        <f>'التقرير اليومى'!C113</f>
        <v>1</v>
      </c>
      <c r="F59" s="14">
        <f>'التقرير اليومى'!I113</f>
        <v>538954607</v>
      </c>
      <c r="G59" s="14">
        <f>'التقرير اليومى'!L113</f>
        <v>107309911228.8</v>
      </c>
      <c r="H59" s="5"/>
      <c r="I59" s="6"/>
      <c r="J59" s="6"/>
      <c r="K59" s="6"/>
      <c r="L59" s="7"/>
      <c r="M59" s="8"/>
    </row>
    <row r="60" spans="1:13" ht="25.2" x14ac:dyDescent="0.25">
      <c r="A60" s="17">
        <f>'التقرير اليومى'!A114</f>
        <v>46111</v>
      </c>
      <c r="B60" s="16">
        <f>'التقرير اليومى'!C114</f>
        <v>3</v>
      </c>
      <c r="C60" s="14">
        <f>'التقرير اليومى'!I114</f>
        <v>292005708</v>
      </c>
      <c r="D60" s="14">
        <f>'التقرير اليومى'!L114</f>
        <v>114438796493.7</v>
      </c>
      <c r="E60" s="16">
        <f>'التقرير اليومى'!C115</f>
        <v>2</v>
      </c>
      <c r="F60" s="14">
        <f>'التقرير اليومى'!I115</f>
        <v>322190734</v>
      </c>
      <c r="G60" s="14">
        <f>'التقرير اليومى'!L115</f>
        <v>102148839534</v>
      </c>
      <c r="H60" s="5"/>
      <c r="I60" s="6"/>
      <c r="J60" s="6"/>
      <c r="K60" s="6"/>
      <c r="L60" s="7"/>
      <c r="M60" s="8"/>
    </row>
    <row r="61" spans="1:13" ht="25.2" x14ac:dyDescent="0.25">
      <c r="A61" s="17">
        <f>'التقرير اليومى'!A116</f>
        <v>46112</v>
      </c>
      <c r="B61" s="16">
        <f>'التقرير اليومى'!C116</f>
        <v>13</v>
      </c>
      <c r="C61" s="14">
        <f>'التقرير اليومى'!I116</f>
        <v>116920132</v>
      </c>
      <c r="D61" s="14">
        <f>'التقرير اليومى'!L116</f>
        <v>116876715717.25</v>
      </c>
      <c r="E61" s="16">
        <f>'التقرير اليومى'!C117</f>
        <v>3</v>
      </c>
      <c r="F61" s="14">
        <f>'التقرير اليومى'!I117</f>
        <v>303184941</v>
      </c>
      <c r="G61" s="14">
        <f>'التقرير اليومى'!L117</f>
        <v>103095246324</v>
      </c>
      <c r="H61" s="5"/>
      <c r="I61" s="6"/>
      <c r="J61" s="6"/>
      <c r="K61" s="6"/>
      <c r="L61" s="7"/>
      <c r="M61" s="8"/>
    </row>
    <row r="62" spans="1:13" ht="25.2" x14ac:dyDescent="0.25">
      <c r="A62" s="17">
        <f>'التقرير اليومى'!A118</f>
        <v>46113</v>
      </c>
      <c r="B62" s="16">
        <f>'التقرير اليومى'!C118</f>
        <v>9</v>
      </c>
      <c r="C62" s="14">
        <f>'التقرير اليومى'!I118</f>
        <v>146042711</v>
      </c>
      <c r="D62" s="14">
        <f>'التقرير اليومى'!L118</f>
        <v>115987592235.71999</v>
      </c>
      <c r="E62" s="16">
        <f>'التقرير اليومى'!C119</f>
        <v>4</v>
      </c>
      <c r="F62" s="14">
        <f>'التقرير اليومى'!I119</f>
        <v>247718744</v>
      </c>
      <c r="G62" s="14">
        <f>'التقرير اليومى'!L119</f>
        <v>105732566578.8</v>
      </c>
      <c r="H62" s="5"/>
      <c r="I62" s="6"/>
      <c r="J62" s="6"/>
      <c r="K62" s="6"/>
      <c r="L62" s="7"/>
      <c r="M62" s="8"/>
    </row>
    <row r="63" spans="1:13" ht="25.2" x14ac:dyDescent="0.25">
      <c r="A63" s="17">
        <f>'التقرير اليومى'!A120</f>
        <v>46114</v>
      </c>
      <c r="B63" s="16">
        <f>'التقرير اليومى'!C120</f>
        <v>26</v>
      </c>
      <c r="C63" s="14">
        <f>'التقرير اليومى'!I120</f>
        <v>61011717</v>
      </c>
      <c r="D63" s="14">
        <f>'التقرير اليومى'!L120</f>
        <v>116446494677.8</v>
      </c>
      <c r="E63" s="16">
        <f>'التقرير اليومى'!C121</f>
        <v>6</v>
      </c>
      <c r="F63" s="14">
        <f>'التقرير اليومى'!I121</f>
        <v>195817120</v>
      </c>
      <c r="G63" s="14">
        <f>'التقرير اليومى'!L121</f>
        <v>103473809040</v>
      </c>
      <c r="H63" s="5"/>
      <c r="I63" s="6"/>
      <c r="J63" s="6"/>
      <c r="K63" s="6"/>
      <c r="L63" s="7"/>
      <c r="M63" s="8"/>
    </row>
    <row r="64" spans="1:13" ht="25.2" x14ac:dyDescent="0.25">
      <c r="A64" s="17">
        <f>'التقرير اليومى'!A122</f>
        <v>46117</v>
      </c>
      <c r="B64" s="16">
        <f>'التقرير اليومى'!C122</f>
        <v>20</v>
      </c>
      <c r="C64" s="14">
        <f>'التقرير اليومى'!I122</f>
        <v>71892061</v>
      </c>
      <c r="D64" s="14">
        <f>'التقرير اليومى'!L122</f>
        <v>119027820914.5</v>
      </c>
      <c r="E64" s="16">
        <f>'التقرير اليومى'!C123</f>
        <v>5</v>
      </c>
      <c r="F64" s="14">
        <f>'التقرير اليومى'!I123</f>
        <v>197582685</v>
      </c>
      <c r="G64" s="14">
        <f>'التقرير اليومى'!L123</f>
        <v>102552639764.39999</v>
      </c>
      <c r="H64" s="5"/>
      <c r="I64" s="6"/>
      <c r="J64" s="6"/>
      <c r="K64" s="6"/>
      <c r="L64" s="7"/>
      <c r="M64" s="8"/>
    </row>
    <row r="65" spans="1:13" ht="25.2" x14ac:dyDescent="0.25">
      <c r="A65" s="17">
        <f>'التقرير اليومى'!A124</f>
        <v>46118</v>
      </c>
      <c r="B65" s="16">
        <f>'التقرير اليومى'!C124</f>
        <v>15</v>
      </c>
      <c r="C65" s="14">
        <f>'التقرير اليومى'!I124</f>
        <v>102335093</v>
      </c>
      <c r="D65" s="14">
        <f>'التقرير اليومى'!L124</f>
        <v>120863430682.82001</v>
      </c>
      <c r="E65" s="16">
        <f>'التقرير اليومى'!C125</f>
        <v>7</v>
      </c>
      <c r="F65" s="14">
        <f>'التقرير اليومى'!I125</f>
        <v>190692699</v>
      </c>
      <c r="G65" s="14">
        <f>'التقرير اليومى'!L125</f>
        <v>104230934472</v>
      </c>
      <c r="H65" s="5"/>
      <c r="I65" s="6"/>
      <c r="J65" s="6"/>
      <c r="K65" s="6"/>
      <c r="L65" s="7"/>
      <c r="M65" s="8"/>
    </row>
    <row r="66" spans="1:13" ht="25.2" x14ac:dyDescent="0.25">
      <c r="A66" s="17">
        <f>'التقرير اليومى'!A126</f>
        <v>46119</v>
      </c>
      <c r="B66" s="16">
        <f>'التقرير اليومى'!C126</f>
        <v>2</v>
      </c>
      <c r="C66" s="14">
        <f>'التقرير اليومى'!I126</f>
        <v>436345047</v>
      </c>
      <c r="D66" s="14">
        <f>'التقرير اليومى'!L126</f>
        <v>126198171572</v>
      </c>
      <c r="E66" s="16">
        <f>'التقرير اليومى'!C127</f>
        <v>3</v>
      </c>
      <c r="F66" s="14">
        <f>'التقرير اليومى'!I127</f>
        <v>271861649</v>
      </c>
      <c r="G66" s="14">
        <f>'التقرير اليومى'!L127</f>
        <v>108029180389.2</v>
      </c>
      <c r="H66" s="5"/>
      <c r="I66" s="6"/>
      <c r="J66" s="6"/>
      <c r="K66" s="6"/>
      <c r="L66" s="7"/>
      <c r="M66" s="8"/>
    </row>
    <row r="67" spans="1:13" ht="25.2" x14ac:dyDescent="0.25">
      <c r="A67" s="17">
        <f>'التقرير اليومى'!A128</f>
        <v>46120</v>
      </c>
      <c r="B67" s="16">
        <f>'التقرير اليومى'!C128</f>
        <v>17</v>
      </c>
      <c r="C67" s="14">
        <f>'التقرير اليومى'!I128</f>
        <v>212100069</v>
      </c>
      <c r="D67" s="14">
        <f>'التقرير اليومى'!L128</f>
        <v>122756403256.39999</v>
      </c>
      <c r="E67" s="16">
        <f>'التقرير اليومى'!C129</f>
        <v>5</v>
      </c>
      <c r="F67" s="14">
        <f>'التقرير اليومى'!I129</f>
        <v>454156367</v>
      </c>
      <c r="G67" s="14">
        <f>'التقرير اليومى'!L129</f>
        <v>104281409500.8</v>
      </c>
      <c r="H67" s="5"/>
      <c r="I67" s="6"/>
      <c r="J67" s="6"/>
      <c r="K67" s="6"/>
      <c r="L67" s="7"/>
      <c r="M67" s="8"/>
    </row>
    <row r="68" spans="1:13" ht="25.2" x14ac:dyDescent="0.25">
      <c r="A68" s="17">
        <f>'التقرير اليومى'!A130</f>
        <v>46121</v>
      </c>
      <c r="B68" s="16">
        <f>'التقرير اليومى'!C130</f>
        <v>6</v>
      </c>
      <c r="C68" s="14">
        <f>'التقرير اليومى'!I130</f>
        <v>191590335</v>
      </c>
      <c r="D68" s="14">
        <f>'التقرير اليومى'!L130</f>
        <v>124764101440.5</v>
      </c>
      <c r="E68" s="16">
        <f>'التقرير اليومى'!C131</f>
        <v>10</v>
      </c>
      <c r="F68" s="14">
        <f>'التقرير اليومى'!I131</f>
        <v>173251080</v>
      </c>
      <c r="G68" s="14">
        <f>'التقرير اليومى'!L131</f>
        <v>103612615369.2</v>
      </c>
      <c r="H68" s="5"/>
      <c r="I68" s="6"/>
      <c r="J68" s="6"/>
      <c r="K68" s="6"/>
      <c r="L68" s="7"/>
      <c r="M68" s="8"/>
    </row>
    <row r="69" spans="1:13" ht="25.2" x14ac:dyDescent="0.25">
      <c r="A69" s="17">
        <f>'التقرير اليومى'!A132</f>
        <v>46126</v>
      </c>
      <c r="B69" s="16">
        <f>'التقرير اليومى'!C132</f>
        <v>9</v>
      </c>
      <c r="C69" s="14">
        <f>'التقرير اليومى'!I132</f>
        <v>227026126</v>
      </c>
      <c r="D69" s="14">
        <f>'التقرير اليومى'!L132</f>
        <v>128492683782.39999</v>
      </c>
      <c r="E69" s="16">
        <f>'التقرير اليومى'!C133</f>
        <v>14</v>
      </c>
      <c r="F69" s="14">
        <f>'التقرير اليومى'!I133</f>
        <v>153778121</v>
      </c>
      <c r="G69" s="14">
        <f>'التقرير اليومى'!L133</f>
        <v>105745185336</v>
      </c>
      <c r="H69" s="5"/>
      <c r="I69" s="6"/>
      <c r="J69" s="6"/>
      <c r="K69" s="6"/>
      <c r="L69" s="7"/>
      <c r="M69" s="8"/>
    </row>
    <row r="70" spans="1:13" ht="25.2" x14ac:dyDescent="0.25">
      <c r="A70" s="17">
        <f>'التقرير اليومى'!A134</f>
        <v>46127</v>
      </c>
      <c r="B70" s="16">
        <f>'التقرير اليومى'!C134</f>
        <v>22</v>
      </c>
      <c r="C70" s="14">
        <f>'التقرير اليومى'!I134</f>
        <v>91337620</v>
      </c>
      <c r="D70" s="14">
        <f>'التقرير اليومى'!L134</f>
        <v>127115976456.16</v>
      </c>
      <c r="E70" s="16">
        <f>'التقرير اليومى'!C135</f>
        <v>18</v>
      </c>
      <c r="F70" s="14">
        <f>'التقرير اليومى'!I135</f>
        <v>117768327</v>
      </c>
      <c r="G70" s="14">
        <f>'التقرير اليومى'!L135</f>
        <v>107070154842</v>
      </c>
      <c r="H70" s="5"/>
      <c r="I70" s="6"/>
      <c r="J70" s="6"/>
      <c r="K70" s="6"/>
      <c r="L70" s="7"/>
      <c r="M70" s="8"/>
    </row>
    <row r="71" spans="1:13" ht="25.2" x14ac:dyDescent="0.25">
      <c r="A71" s="17">
        <f>'التقرير اليومى'!A136</f>
        <v>46128</v>
      </c>
      <c r="B71" s="16">
        <f>'التقرير اليومى'!C136</f>
        <v>10</v>
      </c>
      <c r="C71" s="14">
        <f>'التقرير اليومى'!I136</f>
        <v>240536066</v>
      </c>
      <c r="D71" s="14">
        <f>'التقرير اليومى'!L136</f>
        <v>126198171572</v>
      </c>
      <c r="E71" s="16">
        <f>'التقرير اليومى'!C137</f>
        <v>19</v>
      </c>
      <c r="F71" s="14">
        <f>'التقرير اليومى'!I137</f>
        <v>153621788</v>
      </c>
      <c r="G71" s="14">
        <f>'التقرير اليومى'!L137</f>
        <v>105921847936.8</v>
      </c>
      <c r="H71" s="5"/>
      <c r="I71" s="6"/>
      <c r="J71" s="6"/>
      <c r="K71" s="6"/>
      <c r="L71" s="7"/>
      <c r="M71" s="8"/>
    </row>
    <row r="72" spans="1:13" ht="25.2" x14ac:dyDescent="0.25">
      <c r="A72" s="17">
        <f>'التقرير اليومى'!A138</f>
        <v>46131</v>
      </c>
      <c r="B72" s="16">
        <f>'التقرير اليومى'!C138</f>
        <v>9</v>
      </c>
      <c r="C72" s="14">
        <f>'التقرير اليومى'!I138</f>
        <v>272235986</v>
      </c>
      <c r="D72" s="14">
        <f>'التقرير اليومى'!L138</f>
        <v>126054764558.85001</v>
      </c>
      <c r="E72" s="16">
        <f>'التقرير اليومى'!C139</f>
        <v>7</v>
      </c>
      <c r="F72" s="14">
        <f>'التقرير اليومى'!I139</f>
        <v>281209126</v>
      </c>
      <c r="G72" s="14">
        <f>'التقرير اليومى'!L139</f>
        <v>107966086603.2</v>
      </c>
      <c r="H72" s="5"/>
      <c r="I72" s="6"/>
      <c r="J72" s="6"/>
      <c r="K72" s="6"/>
      <c r="L72" s="7"/>
      <c r="M72" s="8"/>
    </row>
    <row r="73" spans="1:13" ht="25.2" x14ac:dyDescent="0.25">
      <c r="A73" s="17">
        <f>'التقرير اليومى'!A140</f>
        <v>46132</v>
      </c>
      <c r="B73" s="16">
        <f>'التقرير اليومى'!C140</f>
        <v>10</v>
      </c>
      <c r="C73" s="14">
        <f>'التقرير اليومى'!I140</f>
        <v>186177620</v>
      </c>
      <c r="D73" s="14">
        <f>'التقرير اليومى'!L140</f>
        <v>125624543519.39999</v>
      </c>
      <c r="E73" s="16">
        <f>'التقرير اليومى'!C141</f>
        <v>26</v>
      </c>
      <c r="F73" s="14">
        <f>'التقرير اليومى'!I141</f>
        <v>83206644</v>
      </c>
      <c r="G73" s="14">
        <f>'التقرير اليومى'!L141</f>
        <v>107259436200</v>
      </c>
      <c r="H73" s="5"/>
      <c r="I73" s="6"/>
      <c r="J73" s="6"/>
      <c r="K73" s="6"/>
      <c r="L73" s="7"/>
      <c r="M73" s="8"/>
    </row>
    <row r="74" spans="1:13" ht="25.2" x14ac:dyDescent="0.25">
      <c r="A74" s="17">
        <f>'التقرير اليومى'!A142</f>
        <v>46133</v>
      </c>
      <c r="B74" s="16">
        <f>'التقرير اليومى'!C142</f>
        <v>14</v>
      </c>
      <c r="C74" s="14">
        <f>'التقرير اليومى'!I142</f>
        <v>201716059</v>
      </c>
      <c r="D74" s="14">
        <f>'التقرير اليومى'!L142</f>
        <v>125710587727.28999</v>
      </c>
      <c r="E74" s="16">
        <f>'التقرير اليومى'!C143</f>
        <v>11</v>
      </c>
      <c r="F74" s="14">
        <f>'التقرير اليومى'!I143</f>
        <v>226047758</v>
      </c>
      <c r="G74" s="14">
        <f>'التقرير اليومى'!L143</f>
        <v>111739095006</v>
      </c>
      <c r="H74" s="5"/>
      <c r="I74" s="6"/>
      <c r="J74" s="6"/>
      <c r="K74" s="6"/>
      <c r="L74" s="7"/>
      <c r="M74" s="8"/>
    </row>
    <row r="75" spans="1:13" ht="25.2" x14ac:dyDescent="0.25">
      <c r="A75" s="17">
        <f>'التقرير اليومى'!A144</f>
        <v>46134</v>
      </c>
      <c r="B75" s="16">
        <f>'التقرير اليومى'!C144</f>
        <v>2</v>
      </c>
      <c r="C75" s="14">
        <f>'التقرير اليومى'!I144</f>
        <v>555756764</v>
      </c>
      <c r="D75" s="14">
        <f>'التقرير اليومى'!L144</f>
        <v>133368522229.5</v>
      </c>
      <c r="E75" s="16">
        <f>'التقرير اليومى'!C145</f>
        <v>18</v>
      </c>
      <c r="F75" s="14">
        <f>'التقرير اليومى'!I145</f>
        <v>113465089</v>
      </c>
      <c r="G75" s="14">
        <f>'التقرير اليومى'!L145</f>
        <v>109783187640</v>
      </c>
      <c r="H75" s="5"/>
      <c r="I75" s="6"/>
      <c r="J75" s="6"/>
      <c r="K75" s="6"/>
      <c r="L75" s="7"/>
      <c r="M75" s="8"/>
    </row>
    <row r="76" spans="1:13" ht="25.2" x14ac:dyDescent="0.25">
      <c r="A76" s="17">
        <f>'التقرير اليومى'!A146</f>
        <v>46135</v>
      </c>
      <c r="B76" s="16">
        <f>'التقرير اليومى'!C146</f>
        <v>4</v>
      </c>
      <c r="C76" s="14">
        <f>'التقرير اليومى'!I146</f>
        <v>501387830</v>
      </c>
      <c r="D76" s="14">
        <f>'التقرير اليومى'!L146</f>
        <v>133368522229.5</v>
      </c>
      <c r="E76" s="16">
        <f>'التقرير اليومى'!C147</f>
        <v>17</v>
      </c>
      <c r="F76" s="14">
        <f>'التقرير اليومى'!I147</f>
        <v>132991311</v>
      </c>
      <c r="G76" s="14">
        <f>'التقرير اليومى'!L147</f>
        <v>108672737006.40001</v>
      </c>
      <c r="H76" s="5"/>
      <c r="I76" s="6"/>
      <c r="J76" s="6"/>
      <c r="K76" s="6"/>
      <c r="L76" s="7"/>
      <c r="M76" s="8"/>
    </row>
    <row r="77" spans="1:13" ht="25.2" x14ac:dyDescent="0.25">
      <c r="A77" s="17">
        <f>'التقرير اليومى'!A148</f>
        <v>46138</v>
      </c>
      <c r="B77" s="16">
        <f>'التقرير اليومى'!C148</f>
        <v>10</v>
      </c>
      <c r="C77" s="14">
        <f>'التقرير اليومى'!I148</f>
        <v>168172290</v>
      </c>
      <c r="D77" s="14">
        <f>'التقرير اليومى'!L148</f>
        <v>135089406387.3</v>
      </c>
      <c r="E77" s="16">
        <f>'التقرير اليومى'!C149</f>
        <v>6</v>
      </c>
      <c r="F77" s="14">
        <f>'التقرير اليومى'!I149</f>
        <v>220920731</v>
      </c>
      <c r="G77" s="14">
        <f>'التقرير اليومى'!L149</f>
        <v>112079801450.39999</v>
      </c>
      <c r="H77" s="5"/>
      <c r="I77" s="6"/>
      <c r="J77" s="6"/>
      <c r="K77" s="6"/>
      <c r="L77" s="7"/>
      <c r="M77" s="8"/>
    </row>
    <row r="78" spans="1:13" ht="25.2" x14ac:dyDescent="0.25">
      <c r="A78" s="17">
        <f>'التقرير اليومى'!A150</f>
        <v>46139</v>
      </c>
      <c r="B78" s="16">
        <f>'التقرير اليومى'!C150</f>
        <v>16</v>
      </c>
      <c r="C78" s="14">
        <f>'التقرير اليومى'!I150</f>
        <v>140641880</v>
      </c>
      <c r="D78" s="14">
        <f>'التقرير اليومى'!L150</f>
        <v>136236662492.5</v>
      </c>
      <c r="E78" s="16">
        <f>'التقرير اليومى'!C151</f>
        <v>26</v>
      </c>
      <c r="F78" s="14">
        <f>'التقرير اليومى'!I151</f>
        <v>76206455</v>
      </c>
      <c r="G78" s="14">
        <f>'التقرير اليومى'!L151</f>
        <v>112937876940</v>
      </c>
      <c r="H78" s="5"/>
      <c r="I78" s="6"/>
      <c r="J78" s="6"/>
      <c r="K78" s="6"/>
      <c r="L78" s="7"/>
      <c r="M78" s="8"/>
    </row>
    <row r="79" spans="1:13" ht="25.2" x14ac:dyDescent="0.25">
      <c r="A79" s="17">
        <f>'التقرير اليومى'!A152</f>
        <v>46140</v>
      </c>
      <c r="B79" s="16">
        <f>'التقرير اليومى'!C152</f>
        <v>5</v>
      </c>
      <c r="C79" s="14">
        <f>'التقرير اليومى'!I152</f>
        <v>255172595</v>
      </c>
      <c r="D79" s="14">
        <f>'التقرير اليومى'!L152</f>
        <v>136294025297.76001</v>
      </c>
      <c r="E79" s="16">
        <f>'التقرير اليومى'!C153</f>
        <v>4</v>
      </c>
      <c r="F79" s="14">
        <f>'التقرير اليومى'!I153</f>
        <v>264569760</v>
      </c>
      <c r="G79" s="14">
        <f>'التقرير اليومى'!L153</f>
        <v>114212371417.20001</v>
      </c>
      <c r="H79" s="5"/>
      <c r="I79" s="6"/>
      <c r="J79" s="6"/>
      <c r="K79" s="6"/>
      <c r="L79" s="7"/>
      <c r="M79" s="8"/>
    </row>
    <row r="80" spans="1:13" ht="25.2" x14ac:dyDescent="0.25">
      <c r="A80" s="17">
        <f>'التقرير اليومى'!A154</f>
        <v>46141</v>
      </c>
      <c r="B80" s="16">
        <f>'التقرير اليومى'!C154</f>
        <v>16</v>
      </c>
      <c r="C80" s="14">
        <f>'التقرير اليومى'!I154</f>
        <v>124174218</v>
      </c>
      <c r="D80" s="14">
        <f>'التقرير اليومى'!L154</f>
        <v>137097104571.39999</v>
      </c>
      <c r="E80" s="16">
        <f>'التقرير اليومى'!C155</f>
        <v>33</v>
      </c>
      <c r="F80" s="14">
        <f>'التقرير اليومى'!I155</f>
        <v>67420509</v>
      </c>
      <c r="G80" s="14">
        <f>'التقرير اليومى'!L155</f>
        <v>113013589483.2</v>
      </c>
      <c r="H80" s="5"/>
      <c r="I80" s="6"/>
      <c r="J80" s="6"/>
      <c r="K80" s="6"/>
      <c r="L80" s="7"/>
      <c r="M80" s="8"/>
    </row>
    <row r="81" spans="1:13" ht="25.2" x14ac:dyDescent="0.25">
      <c r="A81" s="17">
        <f>'التقرير اليومى'!A156</f>
        <v>46142</v>
      </c>
      <c r="B81" s="16">
        <f>'التقرير اليومى'!C156</f>
        <v>4</v>
      </c>
      <c r="C81" s="14">
        <f>'التقرير اليومى'!I156</f>
        <v>380422208</v>
      </c>
      <c r="D81" s="14">
        <f>'التقرير اليومى'!L156</f>
        <v>144812401878.87</v>
      </c>
      <c r="E81" s="16">
        <f>'التقرير اليومى'!C157</f>
        <v>12</v>
      </c>
      <c r="F81" s="14">
        <f>'التقرير اليومى'!I157</f>
        <v>197442087</v>
      </c>
      <c r="G81" s="14">
        <f>'التقرير اليومى'!L157</f>
        <v>114515221590</v>
      </c>
      <c r="H81" s="5"/>
      <c r="I81" s="6"/>
      <c r="J81" s="6"/>
      <c r="K81" s="6"/>
      <c r="L81" s="7"/>
      <c r="M81" s="8"/>
    </row>
    <row r="82" spans="1:13" ht="25.2" x14ac:dyDescent="0.25">
      <c r="A82" s="17">
        <f>'التقرير اليومى'!A158</f>
        <v>46145</v>
      </c>
      <c r="B82" s="16">
        <f>'التقرير اليومى'!C158</f>
        <v>10</v>
      </c>
      <c r="C82" s="14">
        <f>'التقرير اليومى'!I158</f>
        <v>175476465</v>
      </c>
      <c r="D82" s="14">
        <f>'التقرير اليومى'!L158</f>
        <v>144841083281.5</v>
      </c>
      <c r="E82" s="16">
        <f>'التقرير اليومى'!C159</f>
        <v>33</v>
      </c>
      <c r="F82" s="14">
        <f>'التقرير اليومى'!I159</f>
        <v>85445724</v>
      </c>
      <c r="G82" s="14">
        <f>'التقرير اليومى'!L159</f>
        <v>112925258182.79999</v>
      </c>
      <c r="H82" s="5"/>
      <c r="I82" s="6"/>
      <c r="J82" s="6"/>
      <c r="K82" s="6"/>
      <c r="L82" s="7"/>
      <c r="M82" s="8"/>
    </row>
    <row r="83" spans="1:13" ht="25.2" x14ac:dyDescent="0.25">
      <c r="A83" s="17">
        <f>'التقرير اليومى'!A160</f>
        <v>46146</v>
      </c>
      <c r="B83" s="16">
        <f>'التقرير اليومى'!C160</f>
        <v>10</v>
      </c>
      <c r="C83" s="14">
        <f>'التقرير اليومى'!I160</f>
        <v>212668890</v>
      </c>
      <c r="D83" s="14">
        <f>'التقرير اليومى'!L160</f>
        <v>130213567940.2</v>
      </c>
      <c r="E83" s="16">
        <f>'التقرير اليومى'!C161</f>
        <v>29</v>
      </c>
      <c r="F83" s="14">
        <f>'التقرير اليومى'!I161</f>
        <v>102590009</v>
      </c>
      <c r="G83" s="14">
        <f>'التقرير اليومى'!L161</f>
        <v>109795806397.20001</v>
      </c>
      <c r="H83" s="5"/>
      <c r="I83" s="6"/>
      <c r="J83" s="6"/>
      <c r="K83" s="6"/>
      <c r="L83" s="7"/>
      <c r="M83" s="8"/>
    </row>
    <row r="84" spans="1:13" ht="25.2" x14ac:dyDescent="0.25">
      <c r="A84" s="17">
        <f>'التقرير اليومى'!A162</f>
        <v>46147</v>
      </c>
      <c r="B84" s="16">
        <f>'التقرير اليومى'!C162</f>
        <v>5</v>
      </c>
      <c r="C84" s="14">
        <f>'التقرير اليومى'!I162</f>
        <v>245062083</v>
      </c>
      <c r="D84" s="14">
        <f>'التقرير اليومى'!L162</f>
        <v>126915206637.75</v>
      </c>
      <c r="E84" s="16">
        <f>'التقرير اليومى'!C163</f>
        <v>8</v>
      </c>
      <c r="F84" s="14">
        <f>'التقرير اليومى'!I163</f>
        <v>220596924</v>
      </c>
      <c r="G84" s="14">
        <f>'التقرير اليومى'!L163</f>
        <v>107070154842</v>
      </c>
      <c r="H84" s="5"/>
      <c r="I84" s="6"/>
      <c r="J84" s="6"/>
      <c r="K84" s="6"/>
      <c r="L84" s="7"/>
      <c r="M84" s="8"/>
    </row>
    <row r="85" spans="1:13" ht="25.2" x14ac:dyDescent="0.25">
      <c r="A85" s="17">
        <f>'التقرير اليومى'!A164</f>
        <v>46148</v>
      </c>
      <c r="B85" s="16">
        <f>'التقرير اليومى'!C164</f>
        <v>22</v>
      </c>
      <c r="C85" s="14">
        <f>'التقرير اليومى'!I164</f>
        <v>144251358</v>
      </c>
      <c r="D85" s="14">
        <f>'التقرير اليومى'!L164</f>
        <v>124764101440.5</v>
      </c>
      <c r="E85" s="16">
        <f>'التقرير اليومى'!C165</f>
        <v>21</v>
      </c>
      <c r="F85" s="14">
        <f>'التقرير اليومى'!I165</f>
        <v>144641530</v>
      </c>
      <c r="G85" s="14">
        <f>'التقرير اليومى'!L165</f>
        <v>105253053805.2</v>
      </c>
      <c r="H85" s="5"/>
      <c r="I85" s="6"/>
      <c r="J85" s="6"/>
      <c r="K85" s="6"/>
      <c r="L85" s="7"/>
      <c r="M85" s="8"/>
    </row>
    <row r="86" spans="1:13" ht="25.2" x14ac:dyDescent="0.25">
      <c r="A86" s="17">
        <f>'التقرير اليومى'!A166</f>
        <v>46152</v>
      </c>
      <c r="B86" s="16">
        <f>'التقرير اليومى'!C166</f>
        <v>29</v>
      </c>
      <c r="C86" s="14">
        <f>'التقرير اليومى'!I166</f>
        <v>96218893</v>
      </c>
      <c r="D86" s="14">
        <f>'التقرير اليومى'!L166</f>
        <v>125538499311.51001</v>
      </c>
      <c r="E86" s="16">
        <f>'التقرير اليومى'!C167</f>
        <v>26</v>
      </c>
      <c r="F86" s="14">
        <f>'التقرير اليومى'!I167</f>
        <v>111988370</v>
      </c>
      <c r="G86" s="14">
        <f>'التقرير اليومى'!L167</f>
        <v>105745185336</v>
      </c>
      <c r="H86" s="5"/>
      <c r="I86" s="6"/>
      <c r="J86" s="6"/>
      <c r="K86" s="6"/>
      <c r="L86" s="7"/>
      <c r="M86" s="8"/>
    </row>
    <row r="87" spans="1:13" ht="25.2" x14ac:dyDescent="0.25">
      <c r="A87" s="17">
        <f>'التقرير اليومى'!A168</f>
        <v>46153</v>
      </c>
      <c r="B87" s="16">
        <f>'التقرير اليومى'!C168</f>
        <v>19</v>
      </c>
      <c r="C87" s="14">
        <f>'التقرير اليومى'!I168</f>
        <v>131364532</v>
      </c>
      <c r="D87" s="14">
        <f>'التقرير اليومى'!L168</f>
        <v>129496532874.45</v>
      </c>
      <c r="E87" s="16">
        <f>'التقرير اليومى'!C169</f>
        <v>24</v>
      </c>
      <c r="F87" s="14">
        <f>'التقرير اليومى'!I169</f>
        <v>113635843</v>
      </c>
      <c r="G87" s="14">
        <f>'التقرير اليومى'!L169</f>
        <v>108521311920</v>
      </c>
      <c r="H87" s="5"/>
      <c r="I87" s="6"/>
      <c r="J87" s="6"/>
      <c r="K87" s="6"/>
      <c r="L87" s="7"/>
      <c r="M87" s="8"/>
    </row>
    <row r="88" spans="1:13" ht="25.2" x14ac:dyDescent="0.25">
      <c r="A88" s="17">
        <f>'التقرير اليومى'!A170</f>
        <v>46154</v>
      </c>
      <c r="B88" s="16">
        <f>'التقرير اليومى'!C170</f>
        <v>23</v>
      </c>
      <c r="C88" s="14">
        <f>'التقرير اليومى'!I170</f>
        <v>115113644</v>
      </c>
      <c r="D88" s="14">
        <f>'التقرير اليومى'!L170</f>
        <v>131074010019.10001</v>
      </c>
      <c r="E88" s="16">
        <f>'التقرير اليومى'!C171</f>
        <v>30</v>
      </c>
      <c r="F88" s="14">
        <f>'التقرير اليومى'!I171</f>
        <v>101738195</v>
      </c>
      <c r="G88" s="14">
        <f>'التقرير اليومى'!L171</f>
        <v>110022944026.8</v>
      </c>
      <c r="H88" s="5"/>
      <c r="I88" s="6"/>
      <c r="J88" s="6"/>
      <c r="K88" s="6"/>
      <c r="L88" s="7"/>
      <c r="M88" s="8"/>
    </row>
    <row r="89" spans="1:13" ht="25.2" x14ac:dyDescent="0.25">
      <c r="A89" s="17">
        <f>'التقرير اليومى'!A172</f>
        <v>46155</v>
      </c>
      <c r="B89" s="16">
        <f>'التقرير اليومى'!C172</f>
        <v>40</v>
      </c>
      <c r="C89" s="14">
        <f>'التقرير اليومى'!I172</f>
        <v>79783110</v>
      </c>
      <c r="D89" s="14">
        <f>'التقرير اليومى'!L172</f>
        <v>128320595366.62001</v>
      </c>
      <c r="E89" s="16">
        <f>'التقرير اليومى'!C173</f>
        <v>52</v>
      </c>
      <c r="F89" s="14">
        <f>'التقرير اليومى'!I173</f>
        <v>55530812</v>
      </c>
      <c r="G89" s="14">
        <f>'التقرير اليومى'!L173</f>
        <v>108016561632</v>
      </c>
      <c r="H89" s="5"/>
      <c r="I89" s="6"/>
      <c r="J89" s="6"/>
      <c r="K89" s="6"/>
      <c r="L89" s="7"/>
      <c r="M89" s="8"/>
    </row>
    <row r="90" spans="1:13" ht="25.2" x14ac:dyDescent="0.25">
      <c r="A90" s="17">
        <f>'التقرير اليومى'!A174</f>
        <v>46156</v>
      </c>
      <c r="B90" s="16">
        <f>'التقرير اليومى'!C174</f>
        <v>56</v>
      </c>
      <c r="C90" s="14">
        <f>'التقرير اليومى'!I174</f>
        <v>50669685</v>
      </c>
      <c r="D90" s="14">
        <f>'التقرير اليومى'!L174</f>
        <v>127517516092.98</v>
      </c>
      <c r="E90" s="16">
        <f>'التقرير اليومى'!C175</f>
        <v>54</v>
      </c>
      <c r="F90" s="14">
        <f>'التقرير اليومى'!I175</f>
        <v>51968426</v>
      </c>
      <c r="G90" s="14">
        <f>'التقرير اليومى'!L175</f>
        <v>108268936776</v>
      </c>
      <c r="H90" s="5"/>
      <c r="I90" s="6"/>
      <c r="J90" s="6"/>
      <c r="K90" s="6"/>
      <c r="L90" s="7"/>
      <c r="M90" s="8"/>
    </row>
    <row r="91" spans="1:13" ht="25.2" x14ac:dyDescent="0.25">
      <c r="A91" s="17">
        <f>'التقرير اليومى'!A176</f>
        <v>46159</v>
      </c>
      <c r="B91" s="16">
        <f>'التقرير اليومى'!C176</f>
        <v>15</v>
      </c>
      <c r="C91" s="14">
        <f>'التقرير اليومى'!I176</f>
        <v>175862700</v>
      </c>
      <c r="D91" s="14">
        <f>'التقرير اليومى'!L176</f>
        <v>131934452098</v>
      </c>
      <c r="E91" s="16">
        <f>'التقرير اليومى'!C177</f>
        <v>16</v>
      </c>
      <c r="F91" s="14">
        <f>'التقرير اليومى'!I177</f>
        <v>175704467</v>
      </c>
      <c r="G91" s="14">
        <f>'التقرير اليومى'!L177</f>
        <v>111297438504</v>
      </c>
      <c r="H91" s="5"/>
      <c r="I91" s="6"/>
      <c r="J91" s="6"/>
      <c r="K91" s="6"/>
      <c r="L91" s="7"/>
      <c r="M91" s="8"/>
    </row>
    <row r="92" spans="1:13" ht="25.2" x14ac:dyDescent="0.25">
      <c r="A92" s="17">
        <f>'التقرير اليومى'!A178</f>
        <v>46160</v>
      </c>
      <c r="B92" s="16">
        <f>'التقرير اليومى'!C178</f>
        <v>12</v>
      </c>
      <c r="C92" s="14">
        <f>'التقرير اليومى'!I178</f>
        <v>176150622</v>
      </c>
      <c r="D92" s="14">
        <f>'التقرير اليومى'!L178</f>
        <v>129812028303.37999</v>
      </c>
      <c r="E92" s="16">
        <f>'التقرير اليومى'!C179</f>
        <v>1</v>
      </c>
      <c r="F92" s="14">
        <f>'التقرير اليومى'!I179</f>
        <v>454868336</v>
      </c>
      <c r="G92" s="14">
        <f>'التقرير اليومى'!L179</f>
        <v>113568814800</v>
      </c>
      <c r="H92" s="5"/>
      <c r="I92" s="6"/>
      <c r="J92" s="6"/>
      <c r="K92" s="6"/>
      <c r="L92" s="7"/>
      <c r="M92" s="8"/>
    </row>
    <row r="93" spans="1:13" ht="25.2" x14ac:dyDescent="0.25">
      <c r="A93" s="17">
        <f>'التقرير اليومى'!A180</f>
        <v>46161</v>
      </c>
      <c r="B93" s="16">
        <f>'التقرير اليومى'!C180</f>
        <v>22</v>
      </c>
      <c r="C93" s="14">
        <f>'التقرير اليومى'!I180</f>
        <v>88860520</v>
      </c>
      <c r="D93" s="14">
        <f>'التقرير اليومى'!L180</f>
        <v>127660923106.12999</v>
      </c>
      <c r="E93" s="16">
        <f>'التقرير اليومى'!C181</f>
        <v>19</v>
      </c>
      <c r="F93" s="14">
        <f>'التقرير اليومى'!I181</f>
        <v>96688416</v>
      </c>
      <c r="G93" s="14">
        <f>'التقرير اليومى'!L181</f>
        <v>112294320322.79999</v>
      </c>
      <c r="H93" s="5"/>
      <c r="I93" s="6"/>
      <c r="J93" s="6"/>
      <c r="K93" s="6"/>
      <c r="L93" s="7"/>
      <c r="M93" s="8"/>
    </row>
    <row r="94" spans="1:13" ht="25.2" x14ac:dyDescent="0.25">
      <c r="A94" s="17">
        <f>'التقرير اليومى'!A182</f>
        <v>46162</v>
      </c>
      <c r="B94" s="16">
        <f>'التقرير اليومى'!C182</f>
        <v>33</v>
      </c>
      <c r="C94" s="14">
        <f>'التقرير اليومى'!I182</f>
        <v>64158555</v>
      </c>
      <c r="D94" s="14">
        <f>'التقرير اليومى'!L182</f>
        <v>124764101440.5</v>
      </c>
      <c r="E94" s="16">
        <f>'التقرير اليومى'!C183</f>
        <v>43</v>
      </c>
      <c r="F94" s="14">
        <f>'التقرير اليومى'!I183</f>
        <v>47996628</v>
      </c>
      <c r="G94" s="14">
        <f>'التقرير اليومى'!L183</f>
        <v>108533930677.20001</v>
      </c>
      <c r="H94" s="5"/>
      <c r="I94" s="6"/>
      <c r="J94" s="6"/>
      <c r="K94" s="6"/>
      <c r="L94" s="7"/>
      <c r="M94" s="8"/>
    </row>
    <row r="95" spans="1:13" ht="25.2" x14ac:dyDescent="0.25">
      <c r="A95" s="17">
        <f>'التقرير اليومى'!A184</f>
        <v>46163</v>
      </c>
      <c r="B95" s="16">
        <f>'التقرير اليومى'!C184</f>
        <v>28</v>
      </c>
      <c r="C95" s="14">
        <f>'التقرير اليومى'!I184</f>
        <v>59225099</v>
      </c>
      <c r="D95" s="14">
        <f>'التقرير اليومى'!L184</f>
        <v>123961022166.86</v>
      </c>
      <c r="E95" s="16">
        <f>'التقرير اليومى'!C185</f>
        <v>46</v>
      </c>
      <c r="F95" s="14">
        <f>'التقرير اليومى'!I185</f>
        <v>35753935</v>
      </c>
      <c r="G95" s="14">
        <f>'التقرير اليومى'!L185</f>
        <v>108533930677.20001</v>
      </c>
      <c r="H95" s="5"/>
      <c r="I95" s="6"/>
      <c r="J95" s="6"/>
      <c r="K95" s="6"/>
      <c r="L95" s="7"/>
      <c r="M95" s="8"/>
    </row>
    <row r="96" spans="1:13" ht="25.2" x14ac:dyDescent="0.25">
      <c r="A96" s="17">
        <f>'التقرير اليومى'!A186</f>
        <v>46166</v>
      </c>
      <c r="B96" s="16">
        <f>'التقرير اليومى'!C186</f>
        <v>20</v>
      </c>
      <c r="C96" s="14">
        <f>'التقرير اليومى'!I186</f>
        <v>85003204</v>
      </c>
      <c r="D96" s="14">
        <f>'التقرير اليومى'!L186</f>
        <v>127460153287.71999</v>
      </c>
      <c r="E96" s="16">
        <f>'التقرير اليومى'!C187</f>
        <v>13</v>
      </c>
      <c r="F96" s="14">
        <f>'التقرير اليومى'!I187</f>
        <v>107971809</v>
      </c>
      <c r="G96" s="14">
        <f>'التقرير اليومى'!L187</f>
        <v>106249935624</v>
      </c>
      <c r="H96" s="5"/>
      <c r="I96" s="6"/>
      <c r="J96" s="6"/>
      <c r="K96" s="6"/>
      <c r="L96" s="7"/>
      <c r="M96" s="8"/>
    </row>
    <row r="97" spans="1:13" ht="25.2" x14ac:dyDescent="0.25">
      <c r="A97" s="17">
        <f>'التقرير اليومى'!A188</f>
        <v>46167</v>
      </c>
      <c r="B97" s="16">
        <f>'التقرير اليومى'!C188</f>
        <v>21</v>
      </c>
      <c r="C97" s="14">
        <f>'التقرير اليومى'!I188</f>
        <v>81808114</v>
      </c>
      <c r="D97" s="14">
        <f>'التقرير اليومى'!L188</f>
        <v>126198171572</v>
      </c>
      <c r="E97" s="16">
        <f>'التقرير اليومى'!C189</f>
        <v>7</v>
      </c>
      <c r="F97" s="14">
        <f>'التقرير اليومى'!I189</f>
        <v>236695212</v>
      </c>
      <c r="G97" s="14">
        <f>'التقرير اليومى'!L189</f>
        <v>108521311920</v>
      </c>
      <c r="H97" s="5"/>
      <c r="I97" s="6"/>
      <c r="J97" s="6"/>
      <c r="K97" s="6"/>
      <c r="L97" s="7"/>
      <c r="M97" s="8"/>
    </row>
    <row r="98" spans="1:13" ht="25.2" x14ac:dyDescent="0.25">
      <c r="A98" s="17">
        <f>'التقرير اليومى'!A190</f>
        <v>46174</v>
      </c>
      <c r="B98" s="16">
        <f>'التقرير اليومى'!C190</f>
        <v>25</v>
      </c>
      <c r="C98" s="14">
        <f>'التقرير اليومى'!I190</f>
        <v>70699325</v>
      </c>
      <c r="D98" s="14">
        <f>'التقرير اليومى'!L190</f>
        <v>124821464245.76001</v>
      </c>
      <c r="E98" s="16">
        <f>'التقرير اليومى'!C191</f>
        <v>15</v>
      </c>
      <c r="F98" s="14">
        <f>'التقرير اليومى'!I191</f>
        <v>156943413</v>
      </c>
      <c r="G98" s="14">
        <f>'التقرير اليومى'!L191</f>
        <v>105492810192</v>
      </c>
      <c r="H98" s="5"/>
      <c r="I98" s="6"/>
      <c r="J98" s="6"/>
      <c r="K98" s="6"/>
      <c r="L98" s="7"/>
      <c r="M98" s="8"/>
    </row>
    <row r="99" spans="1:13" ht="25.2" x14ac:dyDescent="0.25">
      <c r="A99" s="17">
        <f>'التقرير اليومى'!A192</f>
        <v>46175</v>
      </c>
      <c r="B99" s="16">
        <f>'التقرير اليومى'!C192</f>
        <v>30</v>
      </c>
      <c r="C99" s="14">
        <f>'التقرير اليومى'!I192</f>
        <v>78173779</v>
      </c>
      <c r="D99" s="14">
        <f>'التقرير اليومى'!L192</f>
        <v>122756403256.39999</v>
      </c>
      <c r="E99" s="16">
        <f>'التقرير اليومى'!C193</f>
        <v>18</v>
      </c>
      <c r="F99" s="14">
        <f>'التقرير اليومى'!I193</f>
        <v>151896832</v>
      </c>
      <c r="G99" s="14">
        <f>'التقرير اليومى'!L193</f>
        <v>103234052653.2</v>
      </c>
      <c r="H99" s="5"/>
      <c r="I99" s="6"/>
      <c r="J99" s="6"/>
      <c r="K99" s="6"/>
      <c r="L99" s="7"/>
      <c r="M99" s="8"/>
    </row>
    <row r="100" spans="1:13" ht="25.2" x14ac:dyDescent="0.25">
      <c r="A100" s="17">
        <f>'التقرير اليومى'!A194</f>
        <v>46176</v>
      </c>
      <c r="B100" s="16">
        <f>'التقرير اليومى'!C194</f>
        <v>49</v>
      </c>
      <c r="C100" s="14">
        <f>'التقرير اليومى'!I194</f>
        <v>44237399</v>
      </c>
      <c r="D100" s="14">
        <f>'التقرير اليومى'!L194</f>
        <v>123014535880.07001</v>
      </c>
      <c r="E100" s="16">
        <f>'التقرير اليومى'!C195</f>
        <v>22</v>
      </c>
      <c r="F100" s="14">
        <f>'التقرير اليومى'!I195</f>
        <v>111363929</v>
      </c>
      <c r="G100" s="14">
        <f>'التقرير اليومى'!L195</f>
        <v>103095246324</v>
      </c>
      <c r="H100" s="5"/>
      <c r="I100" s="6"/>
      <c r="J100" s="6"/>
      <c r="K100" s="6"/>
      <c r="L100" s="7"/>
      <c r="M100" s="8"/>
    </row>
    <row r="101" spans="1:13" ht="25.2" x14ac:dyDescent="0.25">
      <c r="A101" s="17">
        <f>'التقرير اليومى'!A196</f>
        <v>46177</v>
      </c>
      <c r="B101" s="16">
        <f>'التقرير اليومى'!C196</f>
        <v>55</v>
      </c>
      <c r="C101" s="14">
        <f>'التقرير اليومى'!I196</f>
        <v>44461516</v>
      </c>
      <c r="D101" s="14">
        <f>'التقرير اليومى'!L196</f>
        <v>123301349906.37001</v>
      </c>
      <c r="E101" s="16">
        <f>'التقرير اليومى'!C197</f>
        <v>54</v>
      </c>
      <c r="F101" s="14">
        <f>'التقرير اليومى'!I197</f>
        <v>44636651</v>
      </c>
      <c r="G101" s="14">
        <f>'التقرير اليومى'!L197</f>
        <v>103309765196.40001</v>
      </c>
      <c r="H101" s="5"/>
      <c r="I101" s="6"/>
      <c r="J101" s="6"/>
      <c r="K101" s="6"/>
      <c r="L101" s="7"/>
      <c r="M101" s="8"/>
    </row>
    <row r="102" spans="1:13" ht="25.2" x14ac:dyDescent="0.25">
      <c r="A102" s="17">
        <f>'التقرير اليومى'!A198</f>
        <v>46180</v>
      </c>
      <c r="B102" s="16">
        <f>'التقرير اليومى'!C198</f>
        <v>59</v>
      </c>
      <c r="C102" s="14">
        <f>'التقرير اليومى'!I198</f>
        <v>34424466</v>
      </c>
      <c r="D102" s="14">
        <f>'التقرير اليومى'!L198</f>
        <v>121580465748.57001</v>
      </c>
      <c r="E102" s="16">
        <f>'التقرير اليومى'!C199</f>
        <v>31</v>
      </c>
      <c r="F102" s="14">
        <f>'التقرير اليومى'!I199</f>
        <v>62821634</v>
      </c>
      <c r="G102" s="14">
        <f>'التقرير اليومى'!L199</f>
        <v>102729302365.2</v>
      </c>
      <c r="H102" s="5"/>
      <c r="I102" s="6"/>
      <c r="J102" s="6"/>
      <c r="K102" s="6"/>
      <c r="L102" s="7"/>
      <c r="M102" s="8"/>
    </row>
    <row r="103" spans="1:13" ht="25.2" x14ac:dyDescent="0.25">
      <c r="A103" s="17">
        <f>'التقرير اليومى'!A200</f>
        <v>46181</v>
      </c>
      <c r="B103" s="16">
        <f>'التقرير اليومى'!C200</f>
        <v>32</v>
      </c>
      <c r="C103" s="14">
        <f>'التقرير اليومى'!I200</f>
        <v>67279063</v>
      </c>
      <c r="D103" s="14">
        <f>'التقرير اليومى'!L200</f>
        <v>122068049593.28001</v>
      </c>
      <c r="E103" s="16">
        <f>'التقرير اليومى'!C201</f>
        <v>22</v>
      </c>
      <c r="F103" s="14">
        <f>'التقرير اليومى'!I201</f>
        <v>89988937</v>
      </c>
      <c r="G103" s="14">
        <f>'التقرير اليومى'!L201</f>
        <v>103347621468</v>
      </c>
      <c r="H103" s="5"/>
      <c r="I103" s="6"/>
      <c r="J103" s="6"/>
      <c r="K103" s="6"/>
      <c r="L103" s="7"/>
      <c r="M103" s="8"/>
    </row>
    <row r="104" spans="1:13" ht="25.2" x14ac:dyDescent="0.25">
      <c r="A104" s="17">
        <f>'التقرير اليومى'!A202</f>
        <v>46182</v>
      </c>
      <c r="B104" s="16">
        <f>'التقرير اليومى'!C202</f>
        <v>46</v>
      </c>
      <c r="C104" s="14">
        <f>'التقرير اليومى'!I202</f>
        <v>39255353</v>
      </c>
      <c r="D104" s="14">
        <f>'التقرير اليومى'!L202</f>
        <v>120892112085.45</v>
      </c>
      <c r="E104" s="16">
        <f>'التقرير اليومى'!C203</f>
        <v>37</v>
      </c>
      <c r="F104" s="14">
        <f>'التقرير اليومى'!I203</f>
        <v>58401896</v>
      </c>
      <c r="G104" s="14">
        <f>'التقرير اليومى'!L203</f>
        <v>102464308464</v>
      </c>
      <c r="H104" s="5"/>
      <c r="I104" s="6"/>
      <c r="J104" s="6"/>
      <c r="K104" s="6"/>
      <c r="L104" s="7"/>
      <c r="M104" s="8"/>
    </row>
    <row r="105" spans="1:13" ht="25.2" x14ac:dyDescent="0.25">
      <c r="A105" s="17">
        <f>'التقرير اليومى'!A204</f>
        <v>46183</v>
      </c>
      <c r="B105" s="16">
        <f>'التقرير اليومى'!C204</f>
        <v>44</v>
      </c>
      <c r="C105" s="14">
        <f>'التقرير اليومى'!I204</f>
        <v>52308977</v>
      </c>
      <c r="D105" s="14">
        <f>'التقرير اليومى'!L204</f>
        <v>118167378835.60001</v>
      </c>
      <c r="E105" s="16">
        <f>'التقرير اليومى'!C205</f>
        <v>33</v>
      </c>
      <c r="F105" s="14">
        <f>'التقرير اليومى'!I205</f>
        <v>77630875</v>
      </c>
      <c r="G105" s="14">
        <f>'التقرير اليومى'!L205</f>
        <v>99688181880</v>
      </c>
      <c r="H105" s="5"/>
      <c r="I105" s="6"/>
      <c r="J105" s="6"/>
      <c r="K105" s="6"/>
      <c r="L105" s="7"/>
      <c r="M105" s="8"/>
    </row>
    <row r="106" spans="1:13" ht="25.2" x14ac:dyDescent="0.25">
      <c r="A106" s="17">
        <f>'التقرير اليومى'!A206</f>
        <v>46184</v>
      </c>
      <c r="B106" s="16">
        <f>'التقرير اليومى'!C206</f>
        <v>20</v>
      </c>
      <c r="C106" s="14">
        <f>'التقرير اليومى'!I206</f>
        <v>125395248</v>
      </c>
      <c r="D106" s="14">
        <f>'التقرير اليومى'!L206</f>
        <v>114668247714.73999</v>
      </c>
      <c r="E106" s="16">
        <f>'التقرير اليومى'!C207</f>
        <v>13</v>
      </c>
      <c r="F106" s="14">
        <f>'التقرير اليومى'!I207</f>
        <v>149304603</v>
      </c>
      <c r="G106" s="14">
        <f>'التقرير اليومى'!L207</f>
        <v>96533492580</v>
      </c>
      <c r="H106" s="5"/>
      <c r="I106" s="6"/>
      <c r="J106" s="6"/>
      <c r="K106" s="6"/>
      <c r="L106" s="7"/>
      <c r="M106" s="8"/>
    </row>
    <row r="107" spans="1:13" ht="25.2" x14ac:dyDescent="0.25">
      <c r="A107" s="17">
        <f>'التقرير اليومى'!A208</f>
        <v>46187</v>
      </c>
      <c r="B107" s="16">
        <f>'التقرير اليومى'!C208</f>
        <v>12</v>
      </c>
      <c r="C107" s="14">
        <f>'التقرير اليومى'!I208</f>
        <v>183146702</v>
      </c>
      <c r="D107" s="14">
        <f>'التقرير اليومى'!L208</f>
        <v>110193948904.46001</v>
      </c>
      <c r="E107" s="16">
        <f>'التقرير اليومى'!C209</f>
        <v>5</v>
      </c>
      <c r="F107" s="14">
        <f>'التقرير اليومى'!I209</f>
        <v>338685976</v>
      </c>
      <c r="G107" s="14">
        <f>'التقرير اليومى'!L209</f>
        <v>91801458630</v>
      </c>
      <c r="H107" s="5"/>
      <c r="I107" s="6"/>
      <c r="J107" s="6"/>
      <c r="K107" s="6"/>
      <c r="L107" s="7"/>
      <c r="M107" s="8"/>
    </row>
    <row r="108" spans="1:13" ht="25.2" x14ac:dyDescent="0.25">
      <c r="A108" s="17">
        <f>'التقرير اليومى'!A210</f>
        <v>46188</v>
      </c>
      <c r="B108" s="16">
        <f>'التقرير اليومى'!C210</f>
        <v>17</v>
      </c>
      <c r="C108" s="14">
        <f>'التقرير اليومى'!I210</f>
        <v>152621604</v>
      </c>
      <c r="D108" s="14">
        <f>'التقرير اليومى'!L210</f>
        <v>107268445836.2</v>
      </c>
      <c r="E108" s="16">
        <f>'التقرير اليومى'!C211</f>
        <v>13</v>
      </c>
      <c r="F108" s="14">
        <f>'التقرير اليومى'!I211</f>
        <v>192272390</v>
      </c>
      <c r="G108" s="14">
        <f>'التقرير اليومى'!L211</f>
        <v>91788839872.799988</v>
      </c>
      <c r="H108" s="5"/>
      <c r="I108" s="6"/>
      <c r="J108" s="6"/>
      <c r="K108" s="6"/>
      <c r="L108" s="7"/>
      <c r="M108" s="8"/>
    </row>
    <row r="109" spans="1:13" ht="25.2" x14ac:dyDescent="0.25">
      <c r="A109" s="17">
        <f>'التقرير اليومى'!A212</f>
        <v>46189</v>
      </c>
      <c r="B109" s="16">
        <f>'التقرير اليومى'!C212</f>
        <v>30</v>
      </c>
      <c r="C109" s="14">
        <f>'التقرير اليومى'!I212</f>
        <v>84989952</v>
      </c>
      <c r="D109" s="14">
        <f>'التقرير اليومى'!L212</f>
        <v>106608773575.71001</v>
      </c>
      <c r="E109" s="16">
        <f>'التقرير اليومى'!C213</f>
        <v>15</v>
      </c>
      <c r="F109" s="14">
        <f>'التقرير اليومى'!I213</f>
        <v>151040992</v>
      </c>
      <c r="G109" s="14">
        <f>'التقرير اليومى'!L213</f>
        <v>89795076235.199997</v>
      </c>
      <c r="H109" s="5"/>
      <c r="I109" s="6"/>
      <c r="J109" s="6"/>
      <c r="K109" s="6"/>
      <c r="L109" s="7"/>
      <c r="M109" s="8"/>
    </row>
    <row r="110" spans="1:13" ht="25.2" x14ac:dyDescent="0.25">
      <c r="A110" s="17">
        <f>'التقرير اليومى'!A214</f>
        <v>46190</v>
      </c>
      <c r="B110" s="16">
        <f>'التقرير اليومى'!C214</f>
        <v>23</v>
      </c>
      <c r="C110" s="14">
        <f>'التقرير اليومى'!I214</f>
        <v>121619943</v>
      </c>
      <c r="D110" s="14">
        <f>'التقرير اليومى'!L214</f>
        <v>105260747652.10001</v>
      </c>
      <c r="E110" s="16">
        <f>'التقرير اليومى'!C215</f>
        <v>10</v>
      </c>
      <c r="F110" s="14">
        <f>'التقرير اليومى'!I215</f>
        <v>200255889</v>
      </c>
      <c r="G110" s="14">
        <f>'التقرير اليومى'!L215</f>
        <v>88962238260</v>
      </c>
      <c r="H110" s="5"/>
      <c r="I110" s="6"/>
      <c r="J110" s="6"/>
      <c r="K110" s="6"/>
      <c r="L110" s="7"/>
      <c r="M110" s="8"/>
    </row>
    <row r="111" spans="1:13" ht="25.2" x14ac:dyDescent="0.25">
      <c r="A111" s="17">
        <f>'التقرير اليومى'!A216</f>
        <v>46194</v>
      </c>
      <c r="B111" s="16">
        <f>'التقرير اليومى'!C216</f>
        <v>10</v>
      </c>
      <c r="C111" s="14">
        <f>'التقرير اليومى'!I216</f>
        <v>159615321</v>
      </c>
      <c r="D111" s="14">
        <f>'التقرير اليومى'!L216</f>
        <v>106752180588.86</v>
      </c>
      <c r="E111" s="16">
        <f>'التقرير اليومى'!C217</f>
        <v>6</v>
      </c>
      <c r="F111" s="14">
        <f>'التقرير اليومى'!I217</f>
        <v>245013267</v>
      </c>
      <c r="G111" s="14">
        <f>'التقرير اليومى'!L217</f>
        <v>90211495222.799988</v>
      </c>
      <c r="H111" s="5"/>
      <c r="I111" s="6"/>
      <c r="J111" s="6"/>
      <c r="K111" s="6"/>
      <c r="L111" s="7"/>
      <c r="M111" s="8"/>
    </row>
    <row r="112" spans="1:13" ht="25.2" x14ac:dyDescent="0.25">
      <c r="A112" s="17">
        <f>'التقرير اليومى'!A218</f>
        <v>46195</v>
      </c>
      <c r="B112" s="16">
        <f>'التقرير اليومى'!C218</f>
        <v>5</v>
      </c>
      <c r="C112" s="14">
        <f>'التقرير اليومى'!I218</f>
        <v>250694852</v>
      </c>
      <c r="D112" s="14">
        <f>'التقرير اليومى'!L218</f>
        <v>100958537257.60001</v>
      </c>
      <c r="E112" s="16">
        <f>'التقرير اليومى'!C219</f>
        <v>9</v>
      </c>
      <c r="F112" s="14">
        <f>'التقرير اليومى'!I219</f>
        <v>208893970</v>
      </c>
      <c r="G112" s="14">
        <f>'التقرير اليومى'!L219</f>
        <v>86514199363.199997</v>
      </c>
      <c r="H112" s="5"/>
      <c r="I112" s="6"/>
      <c r="J112" s="6"/>
      <c r="K112" s="6"/>
      <c r="L112" s="7"/>
      <c r="M112" s="8"/>
    </row>
    <row r="113" spans="1:13" ht="25.2" x14ac:dyDescent="0.25">
      <c r="A113" s="17">
        <f>'التقرير اليومى'!A220</f>
        <v>46196</v>
      </c>
      <c r="B113" s="16">
        <f>'التقرير اليومى'!C220</f>
        <v>26</v>
      </c>
      <c r="C113" s="14">
        <f>'التقرير اليومى'!I220</f>
        <v>95948396</v>
      </c>
      <c r="D113" s="14">
        <f>'التقرير اليومى'!L220</f>
        <v>102277881778.57999</v>
      </c>
      <c r="E113" s="16">
        <f>'التقرير اليومى'!C221</f>
        <v>19</v>
      </c>
      <c r="F113" s="14">
        <f>'التقرير اليومى'!I221</f>
        <v>104217432</v>
      </c>
      <c r="G113" s="14">
        <f>'التقرير اليومى'!L221</f>
        <v>86564674392</v>
      </c>
      <c r="H113" s="5"/>
      <c r="I113" s="6"/>
      <c r="J113" s="6"/>
      <c r="K113" s="6"/>
      <c r="L113" s="7"/>
      <c r="M113" s="8"/>
    </row>
    <row r="114" spans="1:13" ht="25.2" x14ac:dyDescent="0.25">
      <c r="A114" s="17">
        <f>'التقرير اليومى'!A222</f>
        <v>46197</v>
      </c>
      <c r="B114" s="16">
        <f>'التقرير اليومى'!C222</f>
        <v>22</v>
      </c>
      <c r="C114" s="14">
        <f>'التقرير اليومى'!I222</f>
        <v>99963156</v>
      </c>
      <c r="D114" s="14">
        <f>'التقرير اليومى'!L222</f>
        <v>103683270507.45</v>
      </c>
      <c r="E114" s="16">
        <f>'التقرير اليومى'!C223</f>
        <v>7</v>
      </c>
      <c r="F114" s="14">
        <f>'التقرير اليومى'!I223</f>
        <v>223649561</v>
      </c>
      <c r="G114" s="14">
        <f>'التقرير اليومى'!L223</f>
        <v>88142019042</v>
      </c>
      <c r="H114" s="5"/>
      <c r="I114" s="6"/>
      <c r="J114" s="6"/>
      <c r="K114" s="6"/>
      <c r="L114" s="7"/>
      <c r="M114" s="8"/>
    </row>
    <row r="115" spans="1:13" ht="25.2" x14ac:dyDescent="0.25">
      <c r="A115" s="17">
        <f>'التقرير اليومى'!A224</f>
        <v>46198</v>
      </c>
      <c r="B115" s="16">
        <f>'التقرير اليومى'!C224</f>
        <v>22</v>
      </c>
      <c r="C115" s="14">
        <f>'التقرير اليومى'!I224</f>
        <v>85814164</v>
      </c>
      <c r="D115" s="14">
        <f>'التقرير اليومى'!L224</f>
        <v>101818979336.5</v>
      </c>
      <c r="E115" s="16">
        <f>'التقرير اليومى'!C225</f>
        <v>20</v>
      </c>
      <c r="F115" s="14">
        <f>'التقرير اليومى'!I225</f>
        <v>96851709</v>
      </c>
      <c r="G115" s="14">
        <f>'التقرير اليومى'!L225</f>
        <v>87132518466</v>
      </c>
      <c r="H115" s="5"/>
      <c r="I115" s="6"/>
      <c r="J115" s="6"/>
      <c r="K115" s="6"/>
      <c r="L115" s="7"/>
      <c r="M115" s="8"/>
    </row>
    <row r="116" spans="1:13" ht="25.2" x14ac:dyDescent="0.25">
      <c r="A116" s="17">
        <f>'التقرير اليومى'!A226</f>
        <v>46201</v>
      </c>
      <c r="B116" s="16">
        <f>'التقرير اليومى'!C226</f>
        <v>22</v>
      </c>
      <c r="C116" s="14">
        <f>'التقرير اليومى'!I226</f>
        <v>75249280</v>
      </c>
      <c r="D116" s="14">
        <f>'التقرير اليومى'!L226</f>
        <v>98377211020.899994</v>
      </c>
      <c r="E116" s="16">
        <f>'التقرير اليومى'!C227</f>
        <v>23</v>
      </c>
      <c r="F116" s="14">
        <f>'التقرير اليومى'!I227</f>
        <v>68992472</v>
      </c>
      <c r="G116" s="14">
        <f>'التقرير اليومى'!L227</f>
        <v>85555173816</v>
      </c>
      <c r="H116" s="5"/>
      <c r="I116" s="6"/>
      <c r="J116" s="6"/>
      <c r="K116" s="6"/>
      <c r="L116" s="7"/>
      <c r="M116" s="8"/>
    </row>
    <row r="117" spans="1:13" ht="25.2" x14ac:dyDescent="0.25">
      <c r="A117" s="17">
        <f>'التقرير اليومى'!A228</f>
        <v>46202</v>
      </c>
      <c r="B117" s="16">
        <f>'التقرير اليومى'!C228</f>
        <v>27</v>
      </c>
      <c r="C117" s="14">
        <f>'التقرير اليومى'!I228</f>
        <v>55178751</v>
      </c>
      <c r="D117" s="14">
        <f>'التقرير اليومى'!L228</f>
        <v>99208971697.170013</v>
      </c>
      <c r="E117" s="16">
        <f>'التقرير اليومى'!C229</f>
        <v>21</v>
      </c>
      <c r="F117" s="14">
        <f>'التقرير اليومى'!I229</f>
        <v>67650089</v>
      </c>
      <c r="G117" s="14">
        <f>'التقرير اليومى'!L229</f>
        <v>84419485668</v>
      </c>
      <c r="H117" s="5"/>
      <c r="I117" s="6"/>
      <c r="J117" s="6"/>
      <c r="K117" s="6"/>
      <c r="L117" s="7"/>
      <c r="M117" s="8"/>
    </row>
    <row r="118" spans="1:13" ht="25.2" x14ac:dyDescent="0.25">
      <c r="A118" s="17">
        <f>'التقرير اليومى'!A230</f>
        <v>46203</v>
      </c>
      <c r="B118" s="16">
        <f>'التقرير اليومى'!C230</f>
        <v>42</v>
      </c>
      <c r="C118" s="14">
        <f>'التقرير اليومى'!I230</f>
        <v>40326447</v>
      </c>
      <c r="D118" s="14">
        <f>'التقرير اليومى'!L230</f>
        <v>100872493049.71001</v>
      </c>
      <c r="E118" s="16">
        <f>'التقرير اليومى'!C231</f>
        <v>35</v>
      </c>
      <c r="F118" s="14">
        <f>'التقرير اليومى'!I231</f>
        <v>54637911</v>
      </c>
      <c r="G118" s="14">
        <f>'التقرير اليومى'!L231</f>
        <v>85302798672</v>
      </c>
      <c r="H118" s="5"/>
      <c r="I118" s="6"/>
      <c r="J118" s="6"/>
      <c r="K118" s="6"/>
      <c r="L118" s="7"/>
      <c r="M118" s="8"/>
    </row>
    <row r="119" spans="1:13" ht="25.2" x14ac:dyDescent="0.25">
      <c r="A119" s="17">
        <f>'التقرير اليومى'!A232</f>
        <v>46204</v>
      </c>
      <c r="B119" s="16">
        <f>'التقرير اليومى'!C232</f>
        <v>38</v>
      </c>
      <c r="C119" s="14">
        <f>'التقرير اليومى'!I232</f>
        <v>49545415</v>
      </c>
      <c r="D119" s="14">
        <f>'التقرير اليومى'!L232</f>
        <v>103253049468</v>
      </c>
      <c r="E119" s="16">
        <f>'التقرير اليومى'!C233</f>
        <v>20</v>
      </c>
      <c r="F119" s="14">
        <f>'التقرير اليومى'!I233</f>
        <v>100987838</v>
      </c>
      <c r="G119" s="14">
        <f>'التقرير اليومى'!L233</f>
        <v>85769692688.399994</v>
      </c>
      <c r="H119" s="5"/>
      <c r="I119" s="6"/>
      <c r="J119" s="6"/>
      <c r="K119" s="6"/>
      <c r="L119" s="7"/>
      <c r="M119" s="8"/>
    </row>
    <row r="120" spans="1:13" ht="25.2" x14ac:dyDescent="0.25">
      <c r="A120" s="17">
        <f>'التقرير اليومى'!A234</f>
        <v>46208</v>
      </c>
      <c r="B120" s="16">
        <f>'التقرير اليومى'!C234</f>
        <v>33</v>
      </c>
      <c r="C120" s="14">
        <f>'التقرير اليومى'!I234</f>
        <v>59449276</v>
      </c>
      <c r="D120" s="14">
        <f>'التقرير اليومى'!L234</f>
        <v>104113491546.89999</v>
      </c>
      <c r="E120" s="16">
        <f>'التقرير اليومى'!C235</f>
        <v>20</v>
      </c>
      <c r="F120" s="14">
        <f>'التقرير اليومى'!I235</f>
        <v>113596466</v>
      </c>
      <c r="G120" s="14">
        <f>'التقرير اليومى'!L235</f>
        <v>87952737684</v>
      </c>
      <c r="H120" s="5"/>
      <c r="I120" s="6"/>
      <c r="J120" s="6"/>
      <c r="K120" s="6"/>
      <c r="L120" s="7"/>
      <c r="M120" s="8"/>
    </row>
    <row r="121" spans="1:13" ht="25.2" x14ac:dyDescent="0.25">
      <c r="A121" s="17">
        <f>'التقرير اليومى'!A236</f>
        <v>46209</v>
      </c>
      <c r="B121" s="16">
        <f>'التقرير اليومى'!C236</f>
        <v>29</v>
      </c>
      <c r="C121" s="14">
        <f>'التقرير اليومى'!I236</f>
        <v>122351938</v>
      </c>
      <c r="D121" s="14">
        <f>'التقرير اليومى'!L236</f>
        <v>102593377207.51001</v>
      </c>
      <c r="E121" s="16">
        <f>'التقرير اليومى'!C237</f>
        <v>33</v>
      </c>
      <c r="F121" s="14">
        <f>'التقرير اليومى'!I237</f>
        <v>96582429</v>
      </c>
      <c r="G121" s="14">
        <f>'التقرير اليومى'!L237</f>
        <v>87952737684</v>
      </c>
      <c r="H121" s="5"/>
      <c r="I121" s="6"/>
      <c r="J121" s="6"/>
      <c r="K121" s="6"/>
      <c r="L121" s="7"/>
      <c r="M121" s="8"/>
    </row>
    <row r="122" spans="1:13" ht="25.2" x14ac:dyDescent="0.25">
      <c r="A122" s="17">
        <f>'التقرير اليومى'!A238</f>
        <v>46210</v>
      </c>
      <c r="B122" s="16">
        <f>'التقرير اليومى'!C238</f>
        <v>29</v>
      </c>
      <c r="C122" s="14">
        <f>'التقرير اليومى'!I238</f>
        <v>98633971</v>
      </c>
      <c r="D122" s="14">
        <f>'التقرير اليومى'!L238</f>
        <v>102363925986.46999</v>
      </c>
      <c r="E122" s="16">
        <f>'التقرير اليومى'!C239</f>
        <v>18</v>
      </c>
      <c r="F122" s="14">
        <f>'التقرير اليومى'!I239</f>
        <v>170121280</v>
      </c>
      <c r="G122" s="14">
        <f>'التقرير اليومى'!L239</f>
        <v>87977975198.399994</v>
      </c>
      <c r="H122" s="5"/>
      <c r="I122" s="6"/>
      <c r="J122" s="6"/>
      <c r="K122" s="6"/>
      <c r="L122" s="7"/>
      <c r="M122" s="8"/>
    </row>
    <row r="123" spans="1:13" ht="25.2" x14ac:dyDescent="0.25">
      <c r="A123" s="17">
        <f>'التقرير اليومى'!A240</f>
        <v>46211</v>
      </c>
      <c r="B123" s="16">
        <f>'التقرير اليومى'!C240</f>
        <v>7</v>
      </c>
      <c r="C123" s="14">
        <f>'التقرير اليومى'!I240</f>
        <v>249579442</v>
      </c>
      <c r="D123" s="14">
        <f>'التقرير اليومى'!L240</f>
        <v>107555259862.5</v>
      </c>
      <c r="E123" s="16">
        <f>'التقرير اليومى'!C241</f>
        <v>3</v>
      </c>
      <c r="F123" s="14">
        <f>'التقرير اليومى'!I241</f>
        <v>300660676</v>
      </c>
      <c r="G123" s="14">
        <f>'التقرير اليومى'!L241</f>
        <v>89971738836</v>
      </c>
      <c r="H123" s="5"/>
      <c r="I123" s="6"/>
      <c r="J123" s="6"/>
      <c r="K123" s="6"/>
      <c r="L123" s="7"/>
      <c r="M123" s="8"/>
    </row>
    <row r="124" spans="1:13" ht="25.2" x14ac:dyDescent="0.25">
      <c r="A124" s="17">
        <f>'التقرير اليومى'!A242</f>
        <v>46212</v>
      </c>
      <c r="B124" s="16">
        <f>'التقرير اليومى'!C242</f>
        <v>20</v>
      </c>
      <c r="C124" s="14">
        <f>'التقرير اليومى'!I242</f>
        <v>120778006</v>
      </c>
      <c r="D124" s="14">
        <f>'التقرير اليومى'!L242</f>
        <v>105834375704.7</v>
      </c>
      <c r="E124" s="16">
        <f>'التقرير اليومى'!C243</f>
        <v>15</v>
      </c>
      <c r="F124" s="14">
        <f>'التقرير اليومى'!I243</f>
        <v>155996021</v>
      </c>
      <c r="G124" s="14">
        <f>'التقرير اليومى'!L243</f>
        <v>88369156671.600006</v>
      </c>
      <c r="H124" s="5"/>
      <c r="I124" s="6"/>
      <c r="J124" s="6"/>
      <c r="K124" s="6"/>
      <c r="L124" s="7"/>
      <c r="M124" s="8"/>
    </row>
    <row r="125" spans="1:13" ht="25.2" x14ac:dyDescent="0.25">
      <c r="A125" s="17">
        <f>'التقرير اليومى'!A244</f>
        <v>46215</v>
      </c>
      <c r="B125" s="16">
        <f>'التقرير اليومى'!C244</f>
        <v>50</v>
      </c>
      <c r="C125" s="14">
        <f>'التقرير اليومى'!I244</f>
        <v>52180681</v>
      </c>
      <c r="D125" s="14">
        <f>'التقرير اليومى'!L244</f>
        <v>106666136380.96999</v>
      </c>
      <c r="E125" s="16">
        <f>'التقرير اليومى'!C245</f>
        <v>26</v>
      </c>
      <c r="F125" s="14">
        <f>'التقرير اليومى'!I245</f>
        <v>99644865</v>
      </c>
      <c r="G125" s="14">
        <f>'التقرير اليومى'!L245</f>
        <v>87826550112</v>
      </c>
      <c r="H125" s="5"/>
      <c r="I125" s="6"/>
      <c r="J125" s="6"/>
      <c r="K125" s="6"/>
      <c r="L125" s="7"/>
      <c r="M125" s="8"/>
    </row>
    <row r="126" spans="1:13" ht="25.2" x14ac:dyDescent="0.25">
      <c r="A126" s="17">
        <f>'التقرير اليومى'!A246</f>
        <v>46216</v>
      </c>
      <c r="B126" s="16">
        <f>'التقرير اليومى'!C246</f>
        <v>50</v>
      </c>
      <c r="C126" s="14">
        <f>'التقرير اليومى'!I246</f>
        <v>54281393</v>
      </c>
      <c r="D126" s="14">
        <f>'التقرير اليومى'!L246</f>
        <v>106408003757.3</v>
      </c>
      <c r="E126" s="16">
        <f>'التقرير اليومى'!C247</f>
        <v>19</v>
      </c>
      <c r="F126" s="14">
        <f>'التقرير اليومى'!I247</f>
        <v>112001018</v>
      </c>
      <c r="G126" s="14">
        <f>'التقرير اليومى'!L247</f>
        <v>87132518466</v>
      </c>
      <c r="H126" s="5"/>
      <c r="I126" s="6"/>
      <c r="J126" s="6"/>
      <c r="K126" s="6"/>
      <c r="L126" s="7"/>
      <c r="M126" s="8"/>
    </row>
    <row r="127" spans="1:13" ht="25.2" x14ac:dyDescent="0.25">
      <c r="A127" s="17">
        <f>'التقرير اليومى'!A248</f>
        <v>46217</v>
      </c>
      <c r="B127" s="16">
        <f>'التقرير اليومى'!C248</f>
        <v>5</v>
      </c>
      <c r="C127" s="14">
        <f>'التقرير اليومى'!I248</f>
        <v>221722280</v>
      </c>
      <c r="D127" s="14">
        <f>'التقرير اليومى'!L248</f>
        <v>110710214151.8</v>
      </c>
      <c r="E127" s="16">
        <f>'التقرير اليومى'!C249</f>
        <v>1</v>
      </c>
      <c r="F127" s="14">
        <f>'التقرير اليومى'!I249</f>
        <v>474510632</v>
      </c>
      <c r="G127" s="14">
        <f>'التقرير اليومى'!L249</f>
        <v>92508109033.199997</v>
      </c>
      <c r="H127" s="5"/>
      <c r="I127" s="6"/>
      <c r="J127" s="6"/>
      <c r="K127" s="6"/>
      <c r="L127" s="7"/>
      <c r="M127" s="8"/>
    </row>
    <row r="128" spans="1:13" ht="25.2" x14ac:dyDescent="0.25">
      <c r="A128" s="17">
        <f>'التقرير اليومى'!A250</f>
        <v>46218</v>
      </c>
      <c r="B128" s="16">
        <f>'التقرير اليومى'!C250</f>
        <v>37</v>
      </c>
      <c r="C128" s="14">
        <f>'التقرير اليومى'!I250</f>
        <v>97498431</v>
      </c>
      <c r="D128" s="14">
        <f>'التقرير اليومى'!L250</f>
        <v>108989329994</v>
      </c>
      <c r="E128" s="16">
        <f>'التقرير اليومى'!C251</f>
        <v>10</v>
      </c>
      <c r="F128" s="14">
        <f>'التقرير اليومى'!I251</f>
        <v>244438402</v>
      </c>
      <c r="G128" s="14">
        <f>'التقرير اليومى'!L251</f>
        <v>90855051840</v>
      </c>
      <c r="H128" s="5"/>
      <c r="I128" s="6"/>
      <c r="J128" s="6"/>
      <c r="K128" s="6"/>
      <c r="L128" s="7"/>
      <c r="M128" s="8"/>
    </row>
    <row r="129" spans="1:13" ht="25.2" x14ac:dyDescent="0.25">
      <c r="A129" s="17">
        <f>'التقرير اليومى'!A252</f>
        <v>46219</v>
      </c>
      <c r="B129" s="16">
        <f>'التقرير اليومى'!C252</f>
        <v>56</v>
      </c>
      <c r="C129" s="14">
        <f>'التقرير اليومى'!I252</f>
        <v>54537765</v>
      </c>
      <c r="D129" s="14">
        <f>'التقرير اليومى'!L252</f>
        <v>108415701941.39999</v>
      </c>
      <c r="E129" s="16">
        <f>'التقرير اليومى'!C253</f>
        <v>13</v>
      </c>
      <c r="F129" s="14">
        <f>'التقرير اليومى'!I253</f>
        <v>198951463</v>
      </c>
      <c r="G129" s="14">
        <f>'التقرير اليومى'!L253</f>
        <v>93000240564</v>
      </c>
      <c r="H129" s="5"/>
      <c r="I129" s="6"/>
      <c r="J129" s="6"/>
      <c r="K129" s="6"/>
      <c r="L129" s="7"/>
      <c r="M129" s="8"/>
    </row>
    <row r="130" spans="1:13" ht="25.2" x14ac:dyDescent="0.25">
      <c r="A130" s="17">
        <f>'التقرير اليومى'!A254</f>
        <v>46222</v>
      </c>
      <c r="B130" s="16">
        <f>'التقرير اليومى'!C254</f>
        <v>48</v>
      </c>
      <c r="C130" s="14">
        <f>'التقرير اليومى'!I254</f>
        <v>65411560</v>
      </c>
      <c r="D130" s="14">
        <f>'التقرير اليومى'!L254</f>
        <v>110079223293.94</v>
      </c>
      <c r="E130" s="16">
        <f>'التقرير اليومى'!C255</f>
        <v>10</v>
      </c>
      <c r="F130" s="14">
        <f>'التقرير اليومى'!I255</f>
        <v>185419932</v>
      </c>
      <c r="G130" s="14">
        <f>'التقرير اليومى'!L255</f>
        <v>94148547469.199997</v>
      </c>
      <c r="H130" s="5"/>
      <c r="I130" s="6"/>
      <c r="J130" s="6"/>
      <c r="K130" s="6"/>
      <c r="L130" s="7"/>
      <c r="M130" s="8"/>
    </row>
    <row r="131" spans="1:13" ht="25.2" x14ac:dyDescent="0.25">
      <c r="A131" s="17">
        <f>'التقرير اليومى'!A256</f>
        <v>46223</v>
      </c>
      <c r="B131" s="16">
        <f>'التقرير اليومى'!C256</f>
        <v>65</v>
      </c>
      <c r="C131" s="14">
        <f>'التقرير اليومى'!I256</f>
        <v>54351415</v>
      </c>
      <c r="D131" s="14">
        <f>'التقرير اليومى'!L256</f>
        <v>108702515967.7</v>
      </c>
      <c r="E131" s="16">
        <f>'التقرير اليومى'!C257</f>
        <v>22</v>
      </c>
      <c r="F131" s="14">
        <f>'التقرير اليومى'!I257</f>
        <v>136815644</v>
      </c>
      <c r="G131" s="14">
        <f>'التقرير اليومى'!L257</f>
        <v>91978121230.800003</v>
      </c>
      <c r="H131" s="5"/>
      <c r="I131" s="6"/>
      <c r="J131" s="6"/>
      <c r="K131" s="6"/>
      <c r="L131" s="7"/>
      <c r="M131" s="8"/>
    </row>
    <row r="132" spans="1:13" ht="25.2" x14ac:dyDescent="0.25">
      <c r="A132" s="17">
        <f>'التقرير اليومى'!A258</f>
        <v>46224</v>
      </c>
      <c r="B132" s="16">
        <f>'التقرير اليومى'!C258</f>
        <v>80</v>
      </c>
      <c r="C132" s="14">
        <f>'التقرير اليومى'!I258</f>
        <v>39290979</v>
      </c>
      <c r="D132" s="14">
        <f>'التقرير اليومى'!L258</f>
        <v>107985480901.95</v>
      </c>
      <c r="E132" s="16">
        <f>'التقرير اليومى'!C259</f>
        <v>41</v>
      </c>
      <c r="F132" s="14">
        <f>'التقرير اليومى'!I259</f>
        <v>86261926</v>
      </c>
      <c r="G132" s="14">
        <f>'التقرير اليومى'!L259</f>
        <v>91952883716.400009</v>
      </c>
      <c r="H132" s="5"/>
      <c r="I132" s="6"/>
      <c r="J132" s="6"/>
      <c r="K132" s="6"/>
      <c r="L132" s="7"/>
      <c r="M132" s="8"/>
    </row>
    <row r="133" spans="1:13" ht="25.2" x14ac:dyDescent="0.25">
      <c r="A133" s="17">
        <f>'التقرير اليومى'!A260</f>
        <v>46225</v>
      </c>
      <c r="B133" s="16">
        <f>'التقرير اليومى'!C260</f>
        <v>45</v>
      </c>
      <c r="C133" s="14">
        <f>'التقرير اليومى'!I260</f>
        <v>74164967</v>
      </c>
      <c r="D133" s="14">
        <f>'التقرير اليومى'!L260</f>
        <v>106752180588.86</v>
      </c>
      <c r="E133" s="16">
        <f>'التقرير اليومى'!C261</f>
        <v>36</v>
      </c>
      <c r="F133" s="14">
        <f>'التقرير اليومى'!I261</f>
        <v>92356103</v>
      </c>
      <c r="G133" s="14">
        <f>'التقرير اليومى'!L261</f>
        <v>91233614556</v>
      </c>
      <c r="H133" s="5"/>
      <c r="I133" s="6"/>
      <c r="J133" s="6"/>
      <c r="K133" s="6"/>
      <c r="L133" s="7"/>
      <c r="M133" s="8"/>
    </row>
    <row r="134" spans="1:13" ht="25.2" x14ac:dyDescent="0.25">
      <c r="A134" s="17">
        <f>'التقرير اليومى'!A262</f>
        <v>46229</v>
      </c>
      <c r="B134" s="16">
        <f>'التقرير اليومى'!C262</f>
        <v>6</v>
      </c>
      <c r="C134" s="14">
        <f>'التقرير اليومى'!I262</f>
        <v>193518122</v>
      </c>
      <c r="D134" s="14">
        <f>'التقرير اليومى'!L262</f>
        <v>105404154665.25</v>
      </c>
      <c r="E134" s="16">
        <f>'التقرير اليومى'!C263</f>
        <v>3</v>
      </c>
      <c r="F134" s="14">
        <f>'التقرير اليومى'!I263</f>
        <v>238432305</v>
      </c>
      <c r="G134" s="14">
        <f>'التقرير اليومى'!L263</f>
        <v>89441751033.599991</v>
      </c>
      <c r="H134" s="5"/>
      <c r="I134" s="6"/>
      <c r="J134" s="6"/>
      <c r="K134" s="6"/>
      <c r="L134" s="7"/>
      <c r="M134" s="8"/>
    </row>
    <row r="135" spans="1:13" ht="25.2" x14ac:dyDescent="0.25">
      <c r="A135" s="17">
        <f>'التقرير اليومى'!A264</f>
        <v>46230</v>
      </c>
      <c r="B135" s="16">
        <f>'التقرير اليومى'!C264</f>
        <v>47</v>
      </c>
      <c r="C135" s="14">
        <f>'التقرير اليومى'!I264</f>
        <v>62087072</v>
      </c>
      <c r="D135" s="14">
        <f>'التقرير اليومى'!L264</f>
        <v>104687119599.5</v>
      </c>
      <c r="E135" s="16">
        <f>'التقرير اليومى'!C265</f>
        <v>45</v>
      </c>
      <c r="F135" s="14">
        <f>'التقرير اليومى'!I265</f>
        <v>67486560</v>
      </c>
      <c r="G135" s="14">
        <f>'التقرير اليومى'!L265</f>
        <v>90161020194</v>
      </c>
      <c r="H135" s="5"/>
      <c r="I135" s="6"/>
      <c r="J135" s="6"/>
      <c r="K135" s="6"/>
      <c r="L135" s="7"/>
      <c r="M135" s="8"/>
    </row>
    <row r="136" spans="1:13" ht="25.2" x14ac:dyDescent="0.25">
      <c r="A136" s="17">
        <f>'التقرير اليومى'!A266</f>
        <v>46231</v>
      </c>
      <c r="B136" s="16">
        <f>'التقرير اليومى'!C266</f>
        <v>94</v>
      </c>
      <c r="C136" s="14">
        <f>'التقرير اليومى'!I266</f>
        <v>28264437</v>
      </c>
      <c r="D136" s="14">
        <f>'التقرير اليومى'!L266</f>
        <v>104830526612.64999</v>
      </c>
      <c r="E136" s="16">
        <f>'التقرير اليومى'!C267</f>
        <v>45</v>
      </c>
      <c r="F136" s="14">
        <f>'التقرير اليومى'!I267</f>
        <v>69955045</v>
      </c>
      <c r="G136" s="14">
        <f>'التقرير اليومى'!L267</f>
        <v>90249351494.399994</v>
      </c>
      <c r="H136" s="5"/>
      <c r="I136" s="6"/>
      <c r="J136" s="6"/>
      <c r="K136" s="6"/>
      <c r="L136" s="7"/>
      <c r="M136" s="8"/>
    </row>
    <row r="137" spans="1:13" ht="25.2" x14ac:dyDescent="0.25">
      <c r="A137" s="17">
        <f>'التقرير اليومى'!A268</f>
        <v>46232</v>
      </c>
      <c r="B137" s="16">
        <f>'التقرير اليومى'!C268</f>
        <v>93</v>
      </c>
      <c r="C137" s="14">
        <f>'التقرير اليومى'!I268</f>
        <v>28536315</v>
      </c>
      <c r="D137" s="14">
        <f>'التقرير اليومى'!L268</f>
        <v>105031296431.06</v>
      </c>
      <c r="E137" s="16">
        <f>'التقرير اليومى'!C269</f>
        <v>86</v>
      </c>
      <c r="F137" s="14">
        <f>'التقرير اليومى'!I269</f>
        <v>31923780</v>
      </c>
      <c r="G137" s="14">
        <f>'التقرير اليومى'!L269</f>
        <v>89996976350.399994</v>
      </c>
      <c r="H137" s="5"/>
      <c r="I137" s="6"/>
      <c r="J137" s="6"/>
      <c r="K137" s="6"/>
      <c r="L137" s="7"/>
      <c r="M137" s="8"/>
    </row>
    <row r="138" spans="1:13" ht="25.2" x14ac:dyDescent="0.25">
      <c r="A138" s="17">
        <f>'التقرير اليومى'!A270</f>
        <v>46233</v>
      </c>
      <c r="B138" s="16">
        <f>'التقرير اليومى'!C270</f>
        <v>34</v>
      </c>
      <c r="C138" s="14">
        <f>'التقرير اليومى'!I270</f>
        <v>101219017</v>
      </c>
      <c r="D138" s="14">
        <f>'التقرير اليومى'!L270</f>
        <v>105031296431.06</v>
      </c>
      <c r="E138" s="16">
        <f>'التقرير اليومى'!C271</f>
        <v>18</v>
      </c>
      <c r="F138" s="14">
        <f>'التقرير اليومى'!I271</f>
        <v>160525007</v>
      </c>
      <c r="G138" s="14">
        <f>'التقرير اليومى'!L271</f>
        <v>92116927560</v>
      </c>
      <c r="H138" s="5"/>
      <c r="I138" s="6"/>
      <c r="J138" s="6"/>
      <c r="K138" s="6"/>
      <c r="L138" s="7"/>
      <c r="M138" s="8"/>
    </row>
    <row r="139" spans="1:13" ht="25.2" x14ac:dyDescent="0.25">
      <c r="A139" s="17">
        <f>'التقرير اليومى'!A272</f>
        <v>46236</v>
      </c>
      <c r="B139" s="16">
        <f>'التقرير اليومى'!C272</f>
        <v>28</v>
      </c>
      <c r="C139" s="14">
        <f>'التقرير اليومى'!I272</f>
        <v>96223226</v>
      </c>
      <c r="D139" s="14">
        <f>'التقرير اليومى'!L272</f>
        <v>108272294928.25</v>
      </c>
      <c r="E139" s="16">
        <f>'التقرير اليومى'!C273</f>
        <v>25</v>
      </c>
      <c r="F139" s="14">
        <f>'التقرير اليومى'!I273</f>
        <v>110970737</v>
      </c>
      <c r="G139" s="14">
        <f>'التقرير اليومى'!L273</f>
        <v>93984503625.600006</v>
      </c>
      <c r="H139" s="5"/>
      <c r="I139" s="6"/>
      <c r="J139" s="6"/>
      <c r="K139" s="6"/>
      <c r="L139" s="7"/>
      <c r="M139" s="8"/>
    </row>
    <row r="140" spans="1:13" ht="25.2" x14ac:dyDescent="0.25">
      <c r="A140" s="17">
        <f>'التقرير اليومى'!A274</f>
        <v>46237</v>
      </c>
      <c r="B140" s="16">
        <f>'التقرير اليومى'!C274</f>
        <v>59</v>
      </c>
      <c r="C140" s="14">
        <f>'التقرير اليومى'!I274</f>
        <v>62716023</v>
      </c>
      <c r="D140" s="14">
        <f>'التقرير اليومى'!L274</f>
        <v>105949101315.21999</v>
      </c>
      <c r="E140" s="16">
        <f>'التقرير اليومى'!C275</f>
        <v>25</v>
      </c>
      <c r="F140" s="14">
        <f>'التقرير اليومى'!I275</f>
        <v>154701184</v>
      </c>
      <c r="G140" s="14">
        <f>'التقرير اليومى'!L275</f>
        <v>91006476926.400009</v>
      </c>
      <c r="H140" s="5"/>
      <c r="I140" s="6"/>
      <c r="J140" s="6"/>
      <c r="K140" s="6"/>
      <c r="L140" s="7"/>
      <c r="M140" s="8"/>
    </row>
    <row r="141" spans="1:13" ht="25.2" x14ac:dyDescent="0.25">
      <c r="A141" s="17">
        <f>'التقرير اليومى'!A276</f>
        <v>46238</v>
      </c>
      <c r="B141" s="16">
        <f>'التقرير اليومى'!C276</f>
        <v>91</v>
      </c>
      <c r="C141" s="14">
        <f>'التقرير اليومى'!I276</f>
        <v>34909250</v>
      </c>
      <c r="D141" s="14">
        <f>'التقرير اليومى'!L276</f>
        <v>106694817783.60001</v>
      </c>
      <c r="E141" s="16">
        <f>'التقرير اليومى'!C277</f>
        <v>27</v>
      </c>
      <c r="F141" s="14">
        <f>'التقرير اليومى'!I277</f>
        <v>135981949</v>
      </c>
      <c r="G141" s="14">
        <f>'التقرير اليومى'!L277</f>
        <v>92344065189.600006</v>
      </c>
      <c r="H141" s="5"/>
      <c r="I141" s="6"/>
      <c r="J141" s="6"/>
      <c r="K141" s="6"/>
      <c r="L141" s="7"/>
      <c r="M141" s="8"/>
    </row>
    <row r="142" spans="1:13" ht="25.2" x14ac:dyDescent="0.25">
      <c r="A142" s="17">
        <f>'التقرير اليومى'!A278</f>
        <v>46239</v>
      </c>
      <c r="B142" s="16">
        <f>'التقرير اليومى'!C278</f>
        <v>63</v>
      </c>
      <c r="C142" s="14">
        <f>'التقرير اليومى'!I278</f>
        <v>53708475</v>
      </c>
      <c r="D142" s="14">
        <f>'التقرير اليومى'!L278</f>
        <v>106121189731</v>
      </c>
      <c r="E142" s="16">
        <f>'التقرير اليومى'!C279</f>
        <v>26</v>
      </c>
      <c r="F142" s="14">
        <f>'التقرير اليومى'!I279</f>
        <v>133544325</v>
      </c>
      <c r="G142" s="14">
        <f>'التقرير اليومى'!L279</f>
        <v>93378803280</v>
      </c>
      <c r="H142" s="5"/>
      <c r="I142" s="6"/>
      <c r="J142" s="6"/>
      <c r="K142" s="6"/>
      <c r="L142" s="7"/>
      <c r="M142" s="8"/>
    </row>
    <row r="143" spans="1:13" ht="25.2" x14ac:dyDescent="0.25">
      <c r="A143" s="17">
        <f>'التقرير اليومى'!A280</f>
        <v>46240</v>
      </c>
      <c r="B143" s="16">
        <f>'التقرير اليومى'!C280</f>
        <v>60</v>
      </c>
      <c r="C143" s="14">
        <f>'التقرير اليومى'!I280</f>
        <v>55335244</v>
      </c>
      <c r="D143" s="14">
        <f>'التقرير اليومى'!L280</f>
        <v>106121189731</v>
      </c>
      <c r="E143" s="16">
        <f>'التقرير اليومى'!C281</f>
        <v>42</v>
      </c>
      <c r="F143" s="14">
        <f>'التقرير اليومى'!I281</f>
        <v>89063441</v>
      </c>
      <c r="G143" s="14">
        <f>'التقرير اليومى'!L281</f>
        <v>93631178424</v>
      </c>
      <c r="H143" s="5"/>
      <c r="I143" s="6"/>
      <c r="J143" s="6"/>
      <c r="K143" s="6"/>
      <c r="L143" s="7"/>
      <c r="M143" s="8"/>
    </row>
    <row r="144" spans="1:13" ht="25.2" x14ac:dyDescent="0.25">
      <c r="A144" s="17">
        <f>'التقرير اليومى'!A282</f>
        <v>46243</v>
      </c>
      <c r="B144" s="16">
        <f>'التقرير اليومى'!C282</f>
        <v>89</v>
      </c>
      <c r="C144" s="14">
        <f>'التقرير اليومى'!I282</f>
        <v>32856910</v>
      </c>
      <c r="D144" s="14">
        <f>'التقرير اليومى'!L282</f>
        <v>106637454978.34</v>
      </c>
      <c r="E144" s="16">
        <f>'التقرير اليومى'!C283</f>
        <v>66</v>
      </c>
      <c r="F144" s="14">
        <f>'التقرير اليومى'!I283</f>
        <v>54094159</v>
      </c>
      <c r="G144" s="14">
        <f>'التقرير اليومى'!L283</f>
        <v>93618559666.800003</v>
      </c>
      <c r="H144" s="5"/>
      <c r="I144" s="6"/>
      <c r="J144" s="6"/>
      <c r="K144" s="6"/>
      <c r="L144" s="7"/>
      <c r="M144" s="8"/>
    </row>
    <row r="145" spans="1:13" ht="25.2" x14ac:dyDescent="0.25">
      <c r="A145" s="17">
        <f>'التقرير اليومى'!A284</f>
        <v>46244</v>
      </c>
      <c r="B145" s="16">
        <f>'التقرير اليومى'!C284</f>
        <v>104</v>
      </c>
      <c r="C145" s="14">
        <f>'التقرير اليومى'!I284</f>
        <v>33715079</v>
      </c>
      <c r="D145" s="14">
        <f>'التقرير اليومى'!L284</f>
        <v>106121189731</v>
      </c>
      <c r="E145" s="16">
        <f>'التقرير اليومى'!C285</f>
        <v>93</v>
      </c>
      <c r="F145" s="14">
        <f>'التقرير اليومى'!I285</f>
        <v>42075125</v>
      </c>
      <c r="G145" s="14">
        <f>'التقرير اليومى'!L285</f>
        <v>92937146778</v>
      </c>
      <c r="H145" s="5"/>
      <c r="I145" s="6"/>
      <c r="J145" s="6"/>
      <c r="K145" s="6"/>
      <c r="L145" s="7"/>
      <c r="M145" s="8"/>
    </row>
    <row r="146" spans="1:13" ht="25.2" x14ac:dyDescent="0.25">
      <c r="A146" s="17">
        <f>'التقرير اليومى'!A286</f>
        <v>46245</v>
      </c>
      <c r="B146" s="16">
        <f>'التقرير اليومى'!C286</f>
        <v>58</v>
      </c>
      <c r="C146" s="14">
        <f>'التقرير اليومى'!I286</f>
        <v>80746662</v>
      </c>
      <c r="D146" s="14">
        <f>'التقرير اليومى'!L286</f>
        <v>108100206512.46999</v>
      </c>
      <c r="E146" s="16">
        <f>'التقرير اليومى'!C287</f>
        <v>48</v>
      </c>
      <c r="F146" s="14">
        <f>'التقرير اليومى'!I287</f>
        <v>92140894</v>
      </c>
      <c r="G146" s="14">
        <f>'التقرير اليومى'!L287</f>
        <v>94135928712</v>
      </c>
      <c r="H146" s="5"/>
      <c r="I146" s="6"/>
      <c r="J146" s="6"/>
      <c r="K146" s="6"/>
      <c r="L146" s="7"/>
      <c r="M146" s="8"/>
    </row>
    <row r="147" spans="1:13" ht="25.2" x14ac:dyDescent="0.25">
      <c r="A147" s="17">
        <f>'التقرير اليومى'!A288</f>
        <v>46246</v>
      </c>
      <c r="B147" s="16">
        <f>'التقرير اليومى'!C288</f>
        <v>28</v>
      </c>
      <c r="C147" s="14">
        <f>'التقرير اليومى'!I288</f>
        <v>140861220</v>
      </c>
      <c r="D147" s="14">
        <f>'التقرير اليومى'!L288</f>
        <v>108989329994</v>
      </c>
      <c r="E147" s="16">
        <f>'التقرير اليومى'!C289</f>
        <v>33</v>
      </c>
      <c r="F147" s="14">
        <f>'التقرير اليومى'!I289</f>
        <v>119583799</v>
      </c>
      <c r="G147" s="14">
        <f>'التقرير اليومى'!L289</f>
        <v>94729010300.399994</v>
      </c>
      <c r="H147" s="5"/>
      <c r="I147" s="6"/>
      <c r="J147" s="6"/>
      <c r="K147" s="6"/>
      <c r="L147" s="7"/>
      <c r="M147" s="8"/>
    </row>
    <row r="148" spans="1:13" ht="25.2" x14ac:dyDescent="0.25">
      <c r="A148" s="17">
        <f>'التقرير اليومى'!A290</f>
        <v>46247</v>
      </c>
      <c r="B148" s="16">
        <f>'التقرير اليومى'!C290</f>
        <v>18</v>
      </c>
      <c r="C148" s="14">
        <f>'التقرير اليومى'!I290</f>
        <v>213179066</v>
      </c>
      <c r="D148" s="14">
        <f>'التقرير اليومى'!L290</f>
        <v>114467477896.32999</v>
      </c>
      <c r="E148" s="16">
        <f>'التقرير اليومى'!C291</f>
        <v>17</v>
      </c>
      <c r="F148" s="14">
        <f>'التقرير اليومى'!I291</f>
        <v>226852449</v>
      </c>
      <c r="G148" s="14">
        <f>'التقرير اليومى'!L291</f>
        <v>98300118588</v>
      </c>
      <c r="H148" s="5"/>
      <c r="I148" s="6"/>
      <c r="J148" s="6"/>
      <c r="K148" s="6"/>
      <c r="L148" s="7"/>
      <c r="M148" s="8"/>
    </row>
    <row r="149" spans="1:13" ht="25.2" x14ac:dyDescent="0.25">
      <c r="A149" s="17">
        <f>'التقرير اليومى'!A292</f>
        <v>46250</v>
      </c>
      <c r="B149" s="16">
        <f>'التقرير اليومى'!C292</f>
        <v>22</v>
      </c>
      <c r="C149" s="14">
        <f>'التقرير اليومى'!I292</f>
        <v>175169042</v>
      </c>
      <c r="D149" s="14">
        <f>'التقرير اليومى'!L292</f>
        <v>117020122730.39999</v>
      </c>
      <c r="E149" s="16">
        <f>'التقرير اليومى'!C293</f>
        <v>8</v>
      </c>
      <c r="F149" s="14">
        <f>'التقرير اليومى'!I293</f>
        <v>248406748</v>
      </c>
      <c r="G149" s="14">
        <f>'التقرير اليومى'!L293</f>
        <v>100571494884</v>
      </c>
      <c r="H149" s="5"/>
      <c r="I149" s="6"/>
      <c r="J149" s="6"/>
      <c r="K149" s="6"/>
      <c r="L149" s="7"/>
      <c r="M149" s="8"/>
    </row>
    <row r="150" spans="1:13" ht="25.2" x14ac:dyDescent="0.25">
      <c r="A150" s="17"/>
      <c r="B150" s="16"/>
      <c r="C150" s="14"/>
      <c r="D150" s="14"/>
      <c r="E150" s="16"/>
      <c r="F150" s="14"/>
      <c r="G150" s="14"/>
      <c r="H150" s="5"/>
      <c r="I150" s="6"/>
      <c r="J150" s="6"/>
      <c r="K150" s="6"/>
      <c r="L150" s="7"/>
      <c r="M150" s="8"/>
    </row>
    <row r="151" spans="1:13" ht="25.2" x14ac:dyDescent="0.25">
      <c r="A151" s="17"/>
      <c r="B151" s="16"/>
      <c r="C151" s="14"/>
      <c r="D151" s="14"/>
      <c r="E151" s="16"/>
      <c r="F151" s="14"/>
      <c r="G151" s="14"/>
      <c r="H151" s="5"/>
      <c r="I151" s="6"/>
      <c r="J151" s="6"/>
      <c r="K151" s="6"/>
      <c r="L151" s="7"/>
      <c r="M151" s="8"/>
    </row>
    <row r="152" spans="1:13" ht="25.2" x14ac:dyDescent="0.25">
      <c r="A152" s="17"/>
      <c r="B152" s="16"/>
      <c r="C152" s="14"/>
      <c r="D152" s="14"/>
      <c r="E152" s="16"/>
      <c r="F152" s="14"/>
      <c r="G152" s="14"/>
      <c r="H152" s="5"/>
      <c r="I152" s="6"/>
      <c r="J152" s="6"/>
      <c r="K152" s="6"/>
      <c r="L152" s="7"/>
      <c r="M152" s="8"/>
    </row>
    <row r="153" spans="1:13" ht="25.2" x14ac:dyDescent="0.25">
      <c r="A153" s="17"/>
      <c r="B153" s="16"/>
      <c r="C153" s="14"/>
      <c r="D153" s="14"/>
      <c r="E153" s="16"/>
      <c r="F153" s="14"/>
      <c r="G153" s="14"/>
      <c r="H153" s="5"/>
      <c r="I153" s="6"/>
      <c r="J153" s="6"/>
      <c r="K153" s="6"/>
      <c r="L153" s="7"/>
      <c r="M153" s="8"/>
    </row>
    <row r="154" spans="1:13" ht="25.2" x14ac:dyDescent="0.25">
      <c r="A154" s="17"/>
      <c r="B154" s="16"/>
      <c r="C154" s="14"/>
      <c r="D154" s="14"/>
      <c r="E154" s="16"/>
      <c r="F154" s="14"/>
      <c r="G154" s="14"/>
      <c r="H154" s="5"/>
      <c r="I154" s="6"/>
      <c r="J154" s="6"/>
      <c r="K154" s="6"/>
      <c r="L154" s="7"/>
      <c r="M154" s="8"/>
    </row>
    <row r="155" spans="1:13" ht="25.2" x14ac:dyDescent="0.25">
      <c r="A155" s="17"/>
      <c r="B155" s="16"/>
      <c r="C155" s="14"/>
      <c r="D155" s="14"/>
      <c r="E155" s="16"/>
      <c r="F155" s="14"/>
      <c r="G155" s="14"/>
      <c r="H155" s="5"/>
      <c r="I155" s="6"/>
      <c r="J155" s="6"/>
      <c r="K155" s="6"/>
      <c r="L155" s="7"/>
      <c r="M155" s="8"/>
    </row>
    <row r="156" spans="1:13" ht="25.2" x14ac:dyDescent="0.25">
      <c r="A156" s="17"/>
      <c r="B156" s="16"/>
      <c r="C156" s="14"/>
      <c r="D156" s="14"/>
      <c r="E156" s="16"/>
      <c r="F156" s="14"/>
      <c r="G156" s="14"/>
      <c r="H156" s="5"/>
      <c r="I156" s="6"/>
      <c r="J156" s="6"/>
      <c r="K156" s="6"/>
      <c r="L156" s="7"/>
      <c r="M156" s="8"/>
    </row>
    <row r="157" spans="1:13" ht="25.2" x14ac:dyDescent="0.25">
      <c r="A157" s="17"/>
      <c r="B157" s="16"/>
      <c r="C157" s="14"/>
      <c r="D157" s="14"/>
      <c r="E157" s="16"/>
      <c r="F157" s="14"/>
      <c r="G157" s="14"/>
      <c r="H157" s="5"/>
      <c r="I157" s="6"/>
      <c r="J157" s="6"/>
      <c r="K157" s="6"/>
      <c r="L157" s="7"/>
      <c r="M157" s="8"/>
    </row>
    <row r="158" spans="1:13" ht="25.2" x14ac:dyDescent="0.25">
      <c r="A158" s="17"/>
      <c r="B158" s="16"/>
      <c r="C158" s="14"/>
      <c r="D158" s="14"/>
      <c r="E158" s="16"/>
      <c r="F158" s="14"/>
      <c r="G158" s="14"/>
      <c r="H158" s="5"/>
      <c r="I158" s="6"/>
      <c r="J158" s="6"/>
      <c r="K158" s="6"/>
      <c r="L158" s="7"/>
      <c r="M158" s="8"/>
    </row>
    <row r="159" spans="1:13" ht="25.2" x14ac:dyDescent="0.25">
      <c r="A159" s="17"/>
      <c r="B159" s="16"/>
      <c r="C159" s="14"/>
      <c r="D159" s="14"/>
      <c r="E159" s="16"/>
      <c r="F159" s="14"/>
      <c r="G159" s="14"/>
      <c r="H159" s="5"/>
      <c r="I159" s="6"/>
      <c r="J159" s="6"/>
      <c r="K159" s="6"/>
      <c r="L159" s="7"/>
      <c r="M159" s="8"/>
    </row>
    <row r="160" spans="1:13" ht="25.2" x14ac:dyDescent="0.25">
      <c r="A160" s="17"/>
      <c r="B160" s="16"/>
      <c r="C160" s="14"/>
      <c r="D160" s="14"/>
      <c r="E160" s="16"/>
      <c r="F160" s="14"/>
      <c r="G160" s="14"/>
      <c r="H160" s="5"/>
      <c r="I160" s="6"/>
      <c r="J160" s="6"/>
      <c r="K160" s="6"/>
      <c r="L160" s="7"/>
      <c r="M160" s="8"/>
    </row>
    <row r="161" spans="1:13" ht="25.2" x14ac:dyDescent="0.25">
      <c r="A161" s="17"/>
      <c r="B161" s="16"/>
      <c r="C161" s="14"/>
      <c r="D161" s="14"/>
      <c r="E161" s="16"/>
      <c r="F161" s="14"/>
      <c r="G161" s="14"/>
      <c r="H161" s="5"/>
      <c r="I161" s="6"/>
      <c r="J161" s="6"/>
      <c r="K161" s="6"/>
      <c r="L161" s="7"/>
      <c r="M161" s="8"/>
    </row>
    <row r="162" spans="1:13" ht="25.2" x14ac:dyDescent="0.25">
      <c r="A162" s="17"/>
      <c r="B162" s="16"/>
      <c r="C162" s="14"/>
      <c r="D162" s="14"/>
      <c r="E162" s="16"/>
      <c r="F162" s="14"/>
      <c r="G162" s="14"/>
      <c r="H162" s="5"/>
      <c r="I162" s="6"/>
      <c r="J162" s="6"/>
      <c r="K162" s="6"/>
      <c r="L162" s="7"/>
      <c r="M162" s="8"/>
    </row>
    <row r="163" spans="1:13" ht="25.2" x14ac:dyDescent="0.25">
      <c r="A163" s="17"/>
      <c r="B163" s="16"/>
      <c r="C163" s="14"/>
      <c r="D163" s="14"/>
      <c r="E163" s="16"/>
      <c r="F163" s="14"/>
      <c r="G163" s="14"/>
      <c r="H163" s="5"/>
      <c r="I163" s="6"/>
      <c r="J163" s="6"/>
      <c r="K163" s="6"/>
      <c r="L163" s="7"/>
      <c r="M163" s="8"/>
    </row>
    <row r="164" spans="1:13" ht="25.2" x14ac:dyDescent="0.25">
      <c r="A164" s="17"/>
      <c r="B164" s="16"/>
      <c r="C164" s="14"/>
      <c r="D164" s="14"/>
      <c r="E164" s="16"/>
      <c r="F164" s="14"/>
      <c r="G164" s="14"/>
      <c r="H164" s="5"/>
      <c r="I164" s="6"/>
      <c r="J164" s="6"/>
      <c r="K164" s="6"/>
      <c r="L164" s="7"/>
      <c r="M164" s="8"/>
    </row>
    <row r="165" spans="1:13" ht="25.2" x14ac:dyDescent="0.25">
      <c r="A165" s="17"/>
      <c r="B165" s="16"/>
      <c r="C165" s="14"/>
      <c r="D165" s="14"/>
      <c r="E165" s="16"/>
      <c r="F165" s="14"/>
      <c r="G165" s="14"/>
      <c r="H165" s="5"/>
      <c r="I165" s="6"/>
      <c r="J165" s="6"/>
      <c r="K165" s="6"/>
      <c r="L165" s="7"/>
      <c r="M165" s="8"/>
    </row>
    <row r="166" spans="1:13" ht="25.2" x14ac:dyDescent="0.25">
      <c r="A166" s="17"/>
      <c r="B166" s="16"/>
      <c r="C166" s="14"/>
      <c r="D166" s="14"/>
      <c r="E166" s="16"/>
      <c r="F166" s="14"/>
      <c r="G166" s="14"/>
      <c r="H166" s="5"/>
      <c r="I166" s="6"/>
      <c r="J166" s="6"/>
      <c r="K166" s="6"/>
      <c r="L166" s="7"/>
      <c r="M166" s="8"/>
    </row>
    <row r="167" spans="1:13" ht="25.2" x14ac:dyDescent="0.25">
      <c r="A167" s="17"/>
      <c r="B167" s="16"/>
      <c r="C167" s="14"/>
      <c r="D167" s="14"/>
      <c r="E167" s="16"/>
      <c r="F167" s="14"/>
      <c r="G167" s="14"/>
      <c r="H167" s="5"/>
      <c r="I167" s="6"/>
      <c r="J167" s="6"/>
      <c r="K167" s="6"/>
      <c r="L167" s="7"/>
      <c r="M167" s="8"/>
    </row>
    <row r="168" spans="1:13" ht="25.2" x14ac:dyDescent="0.25">
      <c r="A168" s="17"/>
      <c r="B168" s="16"/>
      <c r="C168" s="14"/>
      <c r="D168" s="14"/>
      <c r="E168" s="16"/>
      <c r="F168" s="14"/>
      <c r="G168" s="14"/>
      <c r="H168" s="5"/>
      <c r="I168" s="6"/>
      <c r="J168" s="6"/>
      <c r="K168" s="6"/>
      <c r="L168" s="7"/>
      <c r="M168" s="8"/>
    </row>
    <row r="169" spans="1:13" ht="25.2" x14ac:dyDescent="0.25">
      <c r="A169" s="17"/>
      <c r="B169" s="16"/>
      <c r="C169" s="14"/>
      <c r="D169" s="14"/>
      <c r="E169" s="16"/>
      <c r="F169" s="14"/>
      <c r="G169" s="14"/>
      <c r="H169" s="5"/>
      <c r="I169" s="6"/>
      <c r="J169" s="6"/>
      <c r="K169" s="6"/>
      <c r="L169" s="7"/>
      <c r="M169" s="8"/>
    </row>
    <row r="170" spans="1:13" ht="25.2" x14ac:dyDescent="0.25">
      <c r="A170" s="17"/>
      <c r="B170" s="16"/>
      <c r="C170" s="14"/>
      <c r="D170" s="14"/>
      <c r="E170" s="16"/>
      <c r="F170" s="14"/>
      <c r="G170" s="14"/>
      <c r="H170" s="5"/>
      <c r="I170" s="6"/>
      <c r="J170" s="6"/>
      <c r="K170" s="6"/>
      <c r="L170" s="7"/>
      <c r="M170" s="8"/>
    </row>
    <row r="171" spans="1:13" ht="25.2" x14ac:dyDescent="0.25">
      <c r="A171" s="17"/>
      <c r="B171" s="16"/>
      <c r="C171" s="14"/>
      <c r="D171" s="14"/>
      <c r="E171" s="16"/>
      <c r="F171" s="14"/>
      <c r="G171" s="14"/>
      <c r="H171" s="5"/>
      <c r="I171" s="6"/>
      <c r="J171" s="6"/>
      <c r="K171" s="6"/>
      <c r="L171" s="7"/>
      <c r="M171" s="8"/>
    </row>
    <row r="172" spans="1:13" ht="25.2" x14ac:dyDescent="0.25">
      <c r="A172" s="17"/>
      <c r="B172" s="16"/>
      <c r="C172" s="14"/>
      <c r="D172" s="14"/>
      <c r="E172" s="16"/>
      <c r="F172" s="14"/>
      <c r="G172" s="14"/>
      <c r="H172" s="5"/>
      <c r="I172" s="6"/>
      <c r="J172" s="6"/>
      <c r="K172" s="6"/>
      <c r="L172" s="7"/>
      <c r="M172" s="8"/>
    </row>
    <row r="173" spans="1:13" ht="25.2" x14ac:dyDescent="0.25">
      <c r="A173" s="17"/>
      <c r="B173" s="16"/>
      <c r="C173" s="14"/>
      <c r="D173" s="14"/>
      <c r="E173" s="16"/>
      <c r="F173" s="14"/>
      <c r="G173" s="14"/>
      <c r="H173" s="5"/>
      <c r="I173" s="6"/>
      <c r="J173" s="6"/>
      <c r="K173" s="6"/>
      <c r="L173" s="7"/>
      <c r="M173" s="8"/>
    </row>
    <row r="174" spans="1:13" ht="25.2" x14ac:dyDescent="0.25">
      <c r="A174" s="17"/>
      <c r="B174" s="16"/>
      <c r="C174" s="14"/>
      <c r="D174" s="14"/>
      <c r="E174" s="16"/>
      <c r="F174" s="14"/>
      <c r="G174" s="14"/>
      <c r="H174" s="5"/>
      <c r="I174" s="6"/>
      <c r="J174" s="6"/>
      <c r="K174" s="6"/>
      <c r="L174" s="7"/>
      <c r="M174" s="8"/>
    </row>
    <row r="175" spans="1:13" ht="25.2" x14ac:dyDescent="0.25">
      <c r="A175" s="17"/>
      <c r="B175" s="16"/>
      <c r="C175" s="14"/>
      <c r="D175" s="14"/>
      <c r="E175" s="16"/>
      <c r="F175" s="14"/>
      <c r="G175" s="14"/>
      <c r="H175" s="5"/>
      <c r="I175" s="6"/>
      <c r="J175" s="6"/>
      <c r="K175" s="6"/>
      <c r="L175" s="7"/>
      <c r="M175" s="8"/>
    </row>
    <row r="176" spans="1:13" ht="25.2" x14ac:dyDescent="0.25">
      <c r="A176" s="17"/>
      <c r="B176" s="16"/>
      <c r="C176" s="14"/>
      <c r="D176" s="14"/>
      <c r="E176" s="16"/>
      <c r="F176" s="14"/>
      <c r="G176" s="14"/>
      <c r="H176" s="5"/>
      <c r="I176" s="6"/>
      <c r="J176" s="6"/>
      <c r="K176" s="6"/>
      <c r="L176" s="7"/>
      <c r="M176" s="8"/>
    </row>
    <row r="177" spans="1:13" ht="25.2" x14ac:dyDescent="0.25">
      <c r="A177" s="17"/>
      <c r="B177" s="16"/>
      <c r="C177" s="14"/>
      <c r="D177" s="14"/>
      <c r="E177" s="16"/>
      <c r="F177" s="14"/>
      <c r="G177" s="14"/>
      <c r="H177" s="5"/>
      <c r="I177" s="6"/>
      <c r="J177" s="6"/>
      <c r="K177" s="6"/>
      <c r="L177" s="7"/>
      <c r="M177" s="8"/>
    </row>
    <row r="178" spans="1:13" ht="25.2" x14ac:dyDescent="0.25">
      <c r="A178" s="17"/>
      <c r="B178" s="16"/>
      <c r="C178" s="14"/>
      <c r="D178" s="14"/>
      <c r="E178" s="16"/>
      <c r="F178" s="14"/>
      <c r="G178" s="14"/>
      <c r="H178" s="5"/>
      <c r="I178" s="6"/>
      <c r="J178" s="6"/>
      <c r="K178" s="6"/>
      <c r="L178" s="7"/>
      <c r="M178" s="8"/>
    </row>
    <row r="179" spans="1:13" ht="25.2" x14ac:dyDescent="0.25">
      <c r="A179" s="17"/>
      <c r="B179" s="16"/>
      <c r="C179" s="14"/>
      <c r="D179" s="14"/>
      <c r="E179" s="16"/>
      <c r="F179" s="14"/>
      <c r="G179" s="14"/>
      <c r="H179" s="5"/>
      <c r="I179" s="6"/>
      <c r="J179" s="6"/>
      <c r="K179" s="6"/>
      <c r="L179" s="7"/>
      <c r="M179" s="8"/>
    </row>
    <row r="180" spans="1:13" ht="25.2" x14ac:dyDescent="0.25">
      <c r="A180" s="17"/>
      <c r="B180" s="16"/>
      <c r="C180" s="14"/>
      <c r="D180" s="14"/>
      <c r="E180" s="16"/>
      <c r="F180" s="14"/>
      <c r="G180" s="14"/>
      <c r="H180" s="5"/>
      <c r="I180" s="6"/>
      <c r="J180" s="6"/>
      <c r="K180" s="6"/>
      <c r="L180" s="7"/>
      <c r="M180" s="8"/>
    </row>
    <row r="181" spans="1:13" ht="25.2" x14ac:dyDescent="0.25">
      <c r="A181" s="17"/>
      <c r="B181" s="16"/>
      <c r="C181" s="14"/>
      <c r="D181" s="14"/>
      <c r="E181" s="16"/>
      <c r="F181" s="14"/>
      <c r="G181" s="14"/>
      <c r="H181" s="5"/>
      <c r="I181" s="6"/>
      <c r="J181" s="6"/>
      <c r="K181" s="6"/>
      <c r="L181" s="7"/>
      <c r="M181" s="8"/>
    </row>
  </sheetData>
  <mergeCells count="3">
    <mergeCell ref="B2:D2"/>
    <mergeCell ref="E2:G2"/>
    <mergeCell ref="A1:G1"/>
  </mergeCells>
  <printOptions horizontalCentered="1" verticalCentered="1"/>
  <pageMargins left="0.7" right="0.7" top="0.75" bottom="0.75" header="0.3" footer="0.3"/>
  <pageSetup paperSize="9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2"/>
  <sheetViews>
    <sheetView rightToLeft="1" zoomScaleNormal="100" workbookViewId="0">
      <pane ySplit="3" topLeftCell="A140" activePane="bottomLeft" state="frozen"/>
      <selection pane="bottomLeft" activeCell="A150" sqref="A150"/>
    </sheetView>
  </sheetViews>
  <sheetFormatPr defaultRowHeight="13.8" x14ac:dyDescent="0.25"/>
  <cols>
    <col min="1" max="1" width="14.19921875" bestFit="1" customWidth="1"/>
    <col min="2" max="2" width="9.8984375" bestFit="1" customWidth="1"/>
    <col min="3" max="3" width="11.8984375" bestFit="1" customWidth="1"/>
    <col min="4" max="4" width="10.796875" bestFit="1" customWidth="1"/>
    <col min="5" max="5" width="9.8984375" bestFit="1" customWidth="1"/>
    <col min="6" max="6" width="11.69921875" bestFit="1" customWidth="1"/>
    <col min="7" max="8" width="10.19921875" bestFit="1" customWidth="1"/>
    <col min="9" max="9" width="16" bestFit="1" customWidth="1"/>
    <col min="10" max="10" width="13.796875" bestFit="1" customWidth="1"/>
    <col min="11" max="11" width="21.8984375" bestFit="1" customWidth="1"/>
    <col min="12" max="12" width="8.3984375" customWidth="1"/>
    <col min="13" max="13" width="9.69921875" bestFit="1" customWidth="1"/>
  </cols>
  <sheetData>
    <row r="1" spans="1:13" ht="37.799999999999997" customHeight="1" x14ac:dyDescent="0.25">
      <c r="A1" s="28" t="s">
        <v>20</v>
      </c>
      <c r="B1" s="29"/>
      <c r="C1" s="29"/>
      <c r="D1" s="29"/>
      <c r="E1" s="29"/>
      <c r="F1" s="29"/>
      <c r="G1" s="29"/>
      <c r="H1" s="4"/>
      <c r="I1" s="4"/>
      <c r="J1" s="4"/>
      <c r="K1" s="4"/>
      <c r="L1" s="4"/>
      <c r="M1" s="4"/>
    </row>
    <row r="2" spans="1:13" ht="37.799999999999997" customHeight="1" x14ac:dyDescent="0.25">
      <c r="A2" s="3"/>
      <c r="B2" s="26" t="s">
        <v>16</v>
      </c>
      <c r="C2" s="27"/>
      <c r="D2" s="27"/>
      <c r="E2" s="26" t="s">
        <v>17</v>
      </c>
      <c r="F2" s="27"/>
      <c r="G2" s="27"/>
      <c r="H2" s="4"/>
      <c r="I2" s="4"/>
      <c r="J2" s="4"/>
      <c r="K2" s="4"/>
      <c r="L2" s="4"/>
      <c r="M2" s="4"/>
    </row>
    <row r="3" spans="1:13" ht="30.6" x14ac:dyDescent="0.25">
      <c r="A3" s="1" t="s">
        <v>0</v>
      </c>
      <c r="B3" s="1" t="s">
        <v>18</v>
      </c>
      <c r="C3" s="1" t="s">
        <v>19</v>
      </c>
      <c r="D3" s="1" t="s">
        <v>11</v>
      </c>
      <c r="E3" s="1" t="s">
        <v>18</v>
      </c>
      <c r="F3" s="1" t="s">
        <v>19</v>
      </c>
      <c r="G3" s="1" t="s">
        <v>11</v>
      </c>
      <c r="H3" s="9"/>
      <c r="I3" s="9"/>
      <c r="J3" s="9"/>
      <c r="K3" s="9"/>
      <c r="L3" s="9"/>
      <c r="M3" s="9"/>
    </row>
    <row r="4" spans="1:13" ht="25.2" x14ac:dyDescent="0.25">
      <c r="A4" s="17">
        <f>'التقرير اليومى'!A2</f>
        <v>46026</v>
      </c>
      <c r="B4" s="12">
        <f>'التقرير اليومى'!D2</f>
        <v>30.5</v>
      </c>
      <c r="C4" s="12">
        <f>'التقرير اليومى'!G2</f>
        <v>29.82</v>
      </c>
      <c r="D4" s="15">
        <f t="shared" ref="D4:D67" si="0">(C4-B4)/B4</f>
        <v>-2.2295081967213106E-2</v>
      </c>
      <c r="E4" s="12">
        <f>'التقرير اليومى'!D3</f>
        <v>51</v>
      </c>
      <c r="F4" s="12">
        <f>'التقرير اليومى'!G3</f>
        <v>50</v>
      </c>
      <c r="G4" s="15">
        <f t="shared" ref="G4:G67" si="1">(F4-E4)/E4</f>
        <v>-1.9607843137254902E-2</v>
      </c>
      <c r="H4" s="5"/>
      <c r="I4" s="6"/>
      <c r="J4" s="6"/>
      <c r="K4" s="6"/>
      <c r="L4" s="7"/>
      <c r="M4" s="8"/>
    </row>
    <row r="5" spans="1:13" ht="25.2" x14ac:dyDescent="0.25">
      <c r="A5" s="17">
        <f>'التقرير اليومى'!A4</f>
        <v>46027</v>
      </c>
      <c r="B5" s="12">
        <f>'التقرير اليومى'!D4</f>
        <v>29.82</v>
      </c>
      <c r="C5" s="12">
        <f>'التقرير اليومى'!G4</f>
        <v>29.16</v>
      </c>
      <c r="D5" s="15">
        <f t="shared" si="0"/>
        <v>-2.2132796780684111E-2</v>
      </c>
      <c r="E5" s="12">
        <f>'التقرير اليومى'!D5</f>
        <v>50</v>
      </c>
      <c r="F5" s="12">
        <f>'التقرير اليومى'!G5</f>
        <v>49.02</v>
      </c>
      <c r="G5" s="15">
        <f t="shared" si="1"/>
        <v>-1.9599999999999937E-2</v>
      </c>
      <c r="H5" s="5"/>
      <c r="I5" s="6"/>
      <c r="J5" s="6"/>
      <c r="K5" s="6"/>
      <c r="L5" s="7"/>
      <c r="M5" s="8"/>
    </row>
    <row r="6" spans="1:13" ht="25.2" x14ac:dyDescent="0.25">
      <c r="A6" s="17">
        <f>'التقرير اليومى'!A6</f>
        <v>46028</v>
      </c>
      <c r="B6" s="12">
        <f>'التقرير اليومى'!D6</f>
        <v>29.16</v>
      </c>
      <c r="C6" s="12">
        <f>'التقرير اليومى'!G6</f>
        <v>30</v>
      </c>
      <c r="D6" s="15">
        <f t="shared" si="0"/>
        <v>2.8806584362139911E-2</v>
      </c>
      <c r="E6" s="12">
        <f>'التقرير اليومى'!D7</f>
        <v>49.02</v>
      </c>
      <c r="F6" s="12">
        <f>'التقرير اليومى'!G7</f>
        <v>50.5</v>
      </c>
      <c r="G6" s="15">
        <f t="shared" si="1"/>
        <v>3.0191758465932205E-2</v>
      </c>
      <c r="H6" s="5"/>
      <c r="I6" s="6"/>
      <c r="J6" s="6"/>
      <c r="K6" s="6"/>
      <c r="L6" s="7"/>
      <c r="M6" s="8"/>
    </row>
    <row r="7" spans="1:13" ht="25.2" x14ac:dyDescent="0.25">
      <c r="A7" s="17">
        <f>'التقرير اليومى'!A8</f>
        <v>46030</v>
      </c>
      <c r="B7" s="12">
        <f>'التقرير اليومى'!D8</f>
        <v>30</v>
      </c>
      <c r="C7" s="12">
        <f>'التقرير اليومى'!G8</f>
        <v>30.22</v>
      </c>
      <c r="D7" s="15">
        <f t="shared" si="0"/>
        <v>7.333333333333295E-3</v>
      </c>
      <c r="E7" s="12">
        <f>'التقرير اليومى'!D9</f>
        <v>50.5</v>
      </c>
      <c r="F7" s="12">
        <f>'التقرير اليومى'!G9</f>
        <v>52.23</v>
      </c>
      <c r="G7" s="15">
        <f t="shared" si="1"/>
        <v>3.4257425742574198E-2</v>
      </c>
      <c r="H7" s="5"/>
      <c r="I7" s="6"/>
      <c r="J7" s="6"/>
      <c r="K7" s="6"/>
      <c r="L7" s="7"/>
      <c r="M7" s="8"/>
    </row>
    <row r="8" spans="1:13" ht="25.2" x14ac:dyDescent="0.25">
      <c r="A8" s="17">
        <f>'التقرير اليومى'!A10</f>
        <v>46033</v>
      </c>
      <c r="B8" s="12">
        <f>'التقرير اليومى'!D10</f>
        <v>30.22</v>
      </c>
      <c r="C8" s="12">
        <f>'التقرير اليومى'!G10</f>
        <v>30.15</v>
      </c>
      <c r="D8" s="15">
        <f t="shared" si="0"/>
        <v>-2.3163467902051716E-3</v>
      </c>
      <c r="E8" s="12">
        <f>'التقرير اليومى'!D11</f>
        <v>52.23</v>
      </c>
      <c r="F8" s="12">
        <f>'التقرير اليومى'!G11</f>
        <v>53.25</v>
      </c>
      <c r="G8" s="15">
        <f t="shared" si="1"/>
        <v>1.9529006318207986E-2</v>
      </c>
      <c r="H8" s="5"/>
      <c r="I8" s="6"/>
      <c r="J8" s="6"/>
      <c r="K8" s="6"/>
      <c r="L8" s="7"/>
      <c r="M8" s="8"/>
    </row>
    <row r="9" spans="1:13" ht="25.2" x14ac:dyDescent="0.25">
      <c r="A9" s="17">
        <f>'التقرير اليومى'!A12</f>
        <v>46034</v>
      </c>
      <c r="B9" s="12">
        <f>'التقرير اليومى'!D12</f>
        <v>30.15</v>
      </c>
      <c r="C9" s="12">
        <f>'التقرير اليومى'!G12</f>
        <v>30.9</v>
      </c>
      <c r="D9" s="15">
        <f t="shared" si="0"/>
        <v>2.4875621890547265E-2</v>
      </c>
      <c r="E9" s="12">
        <f>'التقرير اليومى'!D13</f>
        <v>53.25</v>
      </c>
      <c r="F9" s="12">
        <f>'التقرير اليومى'!G13</f>
        <v>52.03</v>
      </c>
      <c r="G9" s="15">
        <f t="shared" si="1"/>
        <v>-2.2910798122065708E-2</v>
      </c>
      <c r="H9" s="5"/>
      <c r="I9" s="6"/>
      <c r="J9" s="6"/>
      <c r="K9" s="6"/>
      <c r="L9" s="7"/>
      <c r="M9" s="8"/>
    </row>
    <row r="10" spans="1:13" ht="25.2" x14ac:dyDescent="0.25">
      <c r="A10" s="10">
        <f>'التقرير اليومى'!A14</f>
        <v>46035</v>
      </c>
      <c r="B10" s="12">
        <f>'التقرير اليومى'!D14</f>
        <v>30.9</v>
      </c>
      <c r="C10" s="12">
        <f>'التقرير اليومى'!G14</f>
        <v>29.51</v>
      </c>
      <c r="D10" s="15">
        <f t="shared" si="0"/>
        <v>-4.498381877022644E-2</v>
      </c>
      <c r="E10" s="12">
        <f>'التقرير اليومى'!D15</f>
        <v>52.03</v>
      </c>
      <c r="F10" s="12">
        <f>'التقرير اليومى'!G15</f>
        <v>51.01</v>
      </c>
      <c r="G10" s="15">
        <f t="shared" si="1"/>
        <v>-1.9604074572362157E-2</v>
      </c>
      <c r="H10" s="5"/>
      <c r="I10" s="6"/>
      <c r="J10" s="6"/>
      <c r="K10" s="6"/>
      <c r="L10" s="7"/>
      <c r="M10" s="8"/>
    </row>
    <row r="11" spans="1:13" ht="25.2" x14ac:dyDescent="0.25">
      <c r="A11" s="17">
        <f>'التقرير اليومى'!A16</f>
        <v>46036</v>
      </c>
      <c r="B11" s="12">
        <f>'التقرير اليومى'!D16</f>
        <v>29.51</v>
      </c>
      <c r="C11" s="12">
        <f>'التقرير اليومى'!G16</f>
        <v>29.04</v>
      </c>
      <c r="D11" s="15">
        <f t="shared" si="0"/>
        <v>-1.5926804473060059E-2</v>
      </c>
      <c r="E11" s="12">
        <f>'التقرير اليومى'!D17</f>
        <v>51.01</v>
      </c>
      <c r="F11" s="12">
        <f>'التقرير اليومى'!G17</f>
        <v>50.23</v>
      </c>
      <c r="G11" s="15">
        <f t="shared" si="1"/>
        <v>-1.5291119388355248E-2</v>
      </c>
      <c r="H11" s="5"/>
      <c r="I11" s="6"/>
      <c r="J11" s="6"/>
      <c r="K11" s="6"/>
      <c r="L11" s="7"/>
      <c r="M11" s="8"/>
    </row>
    <row r="12" spans="1:13" ht="25.2" x14ac:dyDescent="0.25">
      <c r="A12" s="17">
        <f>'التقرير اليومى'!A19</f>
        <v>46037</v>
      </c>
      <c r="B12" s="12">
        <f>'التقرير اليومى'!D18</f>
        <v>29.04</v>
      </c>
      <c r="C12" s="12">
        <f>'التقرير اليومى'!G18</f>
        <v>29.27</v>
      </c>
      <c r="D12" s="15">
        <f t="shared" si="0"/>
        <v>7.9201101928374797E-3</v>
      </c>
      <c r="E12" s="12">
        <f>'التقرير اليومى'!D19</f>
        <v>50.23</v>
      </c>
      <c r="F12" s="12">
        <f>'التقرير اليومى'!G19</f>
        <v>50.02</v>
      </c>
      <c r="G12" s="15">
        <f t="shared" si="1"/>
        <v>-4.1807684650605964E-3</v>
      </c>
      <c r="H12" s="5"/>
      <c r="I12" s="6"/>
      <c r="J12" s="6"/>
      <c r="K12" s="6"/>
      <c r="L12" s="7"/>
      <c r="M12" s="8"/>
    </row>
    <row r="13" spans="1:13" ht="25.2" x14ac:dyDescent="0.25">
      <c r="A13" s="17">
        <f>'التقرير اليومى'!A20</f>
        <v>46040</v>
      </c>
      <c r="B13" s="12">
        <f>'التقرير اليومى'!D20</f>
        <v>29.27</v>
      </c>
      <c r="C13" s="12">
        <f>'التقرير اليومى'!G20</f>
        <v>29.49</v>
      </c>
      <c r="D13" s="15">
        <f t="shared" si="0"/>
        <v>7.51622822002046E-3</v>
      </c>
      <c r="E13" s="12">
        <f>'التقرير اليومى'!D21</f>
        <v>50.02</v>
      </c>
      <c r="F13" s="12">
        <f>'التقرير اليومى'!G21</f>
        <v>51.8</v>
      </c>
      <c r="G13" s="15">
        <f t="shared" si="1"/>
        <v>3.558576569372239E-2</v>
      </c>
      <c r="H13" s="5"/>
      <c r="I13" s="6"/>
      <c r="J13" s="6"/>
      <c r="K13" s="6"/>
      <c r="L13" s="7"/>
      <c r="M13" s="8"/>
    </row>
    <row r="14" spans="1:13" ht="25.2" x14ac:dyDescent="0.25">
      <c r="A14" s="17">
        <f>'التقرير اليومى'!A23</f>
        <v>46041</v>
      </c>
      <c r="B14" s="12">
        <f>'التقرير اليومى'!D22</f>
        <v>29.49</v>
      </c>
      <c r="C14" s="12">
        <f>'التقرير اليومى'!G22</f>
        <v>29.86</v>
      </c>
      <c r="D14" s="15">
        <f t="shared" si="0"/>
        <v>1.2546625974906783E-2</v>
      </c>
      <c r="E14" s="12">
        <f>'التقرير اليومى'!D23</f>
        <v>51.8</v>
      </c>
      <c r="F14" s="12">
        <f>'التقرير اليومى'!G23</f>
        <v>53.03</v>
      </c>
      <c r="G14" s="15">
        <f t="shared" si="1"/>
        <v>2.3745173745173823E-2</v>
      </c>
      <c r="H14" s="5"/>
      <c r="I14" s="6"/>
      <c r="J14" s="6"/>
      <c r="K14" s="6"/>
      <c r="L14" s="7"/>
      <c r="M14" s="8"/>
    </row>
    <row r="15" spans="1:13" ht="25.2" x14ac:dyDescent="0.25">
      <c r="A15" s="17">
        <f>'التقرير اليومى'!A25</f>
        <v>46042</v>
      </c>
      <c r="B15" s="12">
        <f>'التقرير اليومى'!D24</f>
        <v>29.86</v>
      </c>
      <c r="C15" s="12">
        <f>'التقرير اليومى'!G24</f>
        <v>29.54</v>
      </c>
      <c r="D15" s="15">
        <f t="shared" si="0"/>
        <v>-1.0716677829872749E-2</v>
      </c>
      <c r="E15" s="12">
        <f>'التقرير اليومى'!D25</f>
        <v>53.03</v>
      </c>
      <c r="F15" s="12">
        <f>'التقرير اليومى'!G25</f>
        <v>53.5</v>
      </c>
      <c r="G15" s="15">
        <f t="shared" si="1"/>
        <v>8.8629077880444818E-3</v>
      </c>
      <c r="H15" s="5"/>
      <c r="I15" s="6"/>
      <c r="J15" s="6"/>
      <c r="K15" s="6"/>
      <c r="L15" s="7"/>
      <c r="M15" s="8"/>
    </row>
    <row r="16" spans="1:13" ht="25.2" x14ac:dyDescent="0.25">
      <c r="A16" s="17">
        <f>'التقرير اليومى'!A26</f>
        <v>46043</v>
      </c>
      <c r="B16" s="12">
        <f>'التقرير اليومى'!D26</f>
        <v>29.54</v>
      </c>
      <c r="C16" s="12">
        <f>'التقرير اليومى'!G26</f>
        <v>30.3</v>
      </c>
      <c r="D16" s="15">
        <f t="shared" si="0"/>
        <v>2.5727826675694027E-2</v>
      </c>
      <c r="E16" s="12">
        <f>'التقرير اليومى'!D27</f>
        <v>53.5</v>
      </c>
      <c r="F16" s="12">
        <f>'التقرير اليومى'!G27</f>
        <v>55.4</v>
      </c>
      <c r="G16" s="15">
        <f t="shared" si="1"/>
        <v>3.551401869158876E-2</v>
      </c>
      <c r="H16" s="5"/>
      <c r="I16" s="6"/>
      <c r="J16" s="6"/>
      <c r="K16" s="6"/>
      <c r="L16" s="7"/>
      <c r="M16" s="8"/>
    </row>
    <row r="17" spans="1:13" ht="25.2" x14ac:dyDescent="0.25">
      <c r="A17" s="17">
        <f>'التقرير اليومى'!A29</f>
        <v>46044</v>
      </c>
      <c r="B17" s="12">
        <f>'التقرير اليومى'!D28</f>
        <v>30.3</v>
      </c>
      <c r="C17" s="12">
        <f>'التقرير اليومى'!G28</f>
        <v>31.33</v>
      </c>
      <c r="D17" s="15">
        <f t="shared" si="0"/>
        <v>3.3993399339933915E-2</v>
      </c>
      <c r="E17" s="12">
        <f>'التقرير اليومى'!D29</f>
        <v>55.4</v>
      </c>
      <c r="F17" s="12">
        <f>'التقرير اليومى'!G29</f>
        <v>58.94</v>
      </c>
      <c r="G17" s="15">
        <f t="shared" si="1"/>
        <v>6.3898916967509017E-2</v>
      </c>
      <c r="H17" s="5"/>
      <c r="I17" s="6"/>
      <c r="J17" s="6"/>
      <c r="K17" s="6"/>
      <c r="L17" s="7"/>
      <c r="M17" s="8"/>
    </row>
    <row r="18" spans="1:13" ht="25.2" x14ac:dyDescent="0.25">
      <c r="A18" s="17">
        <f>'التقرير اليومى'!A30</f>
        <v>46047</v>
      </c>
      <c r="B18" s="12">
        <f>'التقرير اليومى'!D30</f>
        <v>31.33</v>
      </c>
      <c r="C18" s="12">
        <f>'التقرير اليومى'!G30</f>
        <v>32.54</v>
      </c>
      <c r="D18" s="15">
        <f t="shared" si="0"/>
        <v>3.8621129907436991E-2</v>
      </c>
      <c r="E18" s="12">
        <f>'التقرير اليومى'!D31</f>
        <v>58.94</v>
      </c>
      <c r="F18" s="12">
        <f>'التقرير اليومى'!G31</f>
        <v>58.8</v>
      </c>
      <c r="G18" s="15">
        <f t="shared" si="1"/>
        <v>-2.3752969121140239E-3</v>
      </c>
      <c r="H18" s="5"/>
      <c r="I18" s="6"/>
      <c r="J18" s="6"/>
      <c r="K18" s="6"/>
      <c r="L18" s="7"/>
      <c r="M18" s="8"/>
    </row>
    <row r="19" spans="1:13" ht="25.2" x14ac:dyDescent="0.25">
      <c r="A19" s="17">
        <f>'التقرير اليومى'!A32</f>
        <v>46048</v>
      </c>
      <c r="B19" s="12">
        <f>'التقرير اليومى'!D32</f>
        <v>32.54</v>
      </c>
      <c r="C19" s="12">
        <f>'التقرير اليومى'!G32</f>
        <v>32.15</v>
      </c>
      <c r="D19" s="15">
        <f t="shared" si="0"/>
        <v>-1.1985248924400756E-2</v>
      </c>
      <c r="E19" s="12">
        <f>'التقرير اليومى'!D33</f>
        <v>58.8</v>
      </c>
      <c r="F19" s="12">
        <f>'التقرير اليومى'!G33</f>
        <v>59</v>
      </c>
      <c r="G19" s="15">
        <f t="shared" si="1"/>
        <v>3.4013605442177355E-3</v>
      </c>
      <c r="H19" s="5"/>
      <c r="I19" s="6"/>
      <c r="J19" s="6"/>
      <c r="K19" s="6"/>
      <c r="L19" s="7"/>
      <c r="M19" s="8"/>
    </row>
    <row r="20" spans="1:13" ht="25.2" x14ac:dyDescent="0.25">
      <c r="A20" s="17">
        <f>'التقرير اليومى'!A35</f>
        <v>46049</v>
      </c>
      <c r="B20" s="12">
        <f>'التقرير اليومى'!D34</f>
        <v>32.15</v>
      </c>
      <c r="C20" s="12">
        <f>'التقرير اليومى'!G34</f>
        <v>33</v>
      </c>
      <c r="D20" s="15">
        <f t="shared" si="0"/>
        <v>2.6438569206842968E-2</v>
      </c>
      <c r="E20" s="12">
        <f>'التقرير اليومى'!D35</f>
        <v>59</v>
      </c>
      <c r="F20" s="12">
        <f>'التقرير اليومى'!G35</f>
        <v>63</v>
      </c>
      <c r="G20" s="15">
        <f t="shared" si="1"/>
        <v>6.7796610169491525E-2</v>
      </c>
      <c r="H20" s="5"/>
      <c r="I20" s="6"/>
      <c r="J20" s="6"/>
      <c r="K20" s="6"/>
      <c r="L20" s="7"/>
      <c r="M20" s="8"/>
    </row>
    <row r="21" spans="1:13" ht="25.2" x14ac:dyDescent="0.25">
      <c r="A21" s="17">
        <f>'التقرير اليومى'!A36</f>
        <v>46050</v>
      </c>
      <c r="B21" s="12">
        <f>'التقرير اليومى'!D36</f>
        <v>33</v>
      </c>
      <c r="C21" s="12">
        <f>'التقرير اليومى'!G36</f>
        <v>33.4</v>
      </c>
      <c r="D21" s="15">
        <f t="shared" si="0"/>
        <v>1.2121212121212078E-2</v>
      </c>
      <c r="E21" s="12">
        <f>'التقرير اليومى'!D37</f>
        <v>63</v>
      </c>
      <c r="F21" s="12">
        <f>'التقرير اليومى'!G37</f>
        <v>64.16</v>
      </c>
      <c r="G21" s="15">
        <f t="shared" si="1"/>
        <v>1.841269841269836E-2</v>
      </c>
      <c r="H21" s="5"/>
      <c r="I21" s="6"/>
      <c r="J21" s="6"/>
      <c r="K21" s="6"/>
      <c r="L21" s="7"/>
      <c r="M21" s="8"/>
    </row>
    <row r="22" spans="1:13" ht="25.2" x14ac:dyDescent="0.25">
      <c r="A22" s="17">
        <f>'التقرير اليومى'!A38</f>
        <v>46054</v>
      </c>
      <c r="B22" s="12">
        <f>'التقرير اليومى'!D38</f>
        <v>33.4</v>
      </c>
      <c r="C22" s="12">
        <f>'التقرير اليومى'!G38</f>
        <v>33</v>
      </c>
      <c r="D22" s="15">
        <f t="shared" si="0"/>
        <v>-1.1976047904191574E-2</v>
      </c>
      <c r="E22" s="12">
        <f>'التقرير اليومى'!D39</f>
        <v>64.16</v>
      </c>
      <c r="F22" s="12">
        <f>'التقرير اليومى'!G39</f>
        <v>65.45</v>
      </c>
      <c r="G22" s="15">
        <f t="shared" si="1"/>
        <v>2.0105985037406581E-2</v>
      </c>
      <c r="H22" s="5"/>
      <c r="I22" s="6"/>
      <c r="J22" s="6"/>
      <c r="K22" s="6"/>
      <c r="L22" s="7"/>
      <c r="M22" s="8"/>
    </row>
    <row r="23" spans="1:13" ht="25.2" x14ac:dyDescent="0.25">
      <c r="A23" s="17">
        <f>'التقرير اليومى'!A40</f>
        <v>46055</v>
      </c>
      <c r="B23" s="12">
        <f>'التقرير اليومى'!D40</f>
        <v>33</v>
      </c>
      <c r="C23" s="12">
        <f>'التقرير اليومى'!G40</f>
        <v>32.71</v>
      </c>
      <c r="D23" s="15">
        <f t="shared" si="0"/>
        <v>-8.7878787878787612E-3</v>
      </c>
      <c r="E23" s="12">
        <f>'التقرير اليومى'!D41</f>
        <v>65.45</v>
      </c>
      <c r="F23" s="12">
        <f>'التقرير اليومى'!G41</f>
        <v>66.489999999999995</v>
      </c>
      <c r="G23" s="15">
        <f t="shared" si="1"/>
        <v>1.5889992360580474E-2</v>
      </c>
      <c r="H23" s="5"/>
      <c r="I23" s="6"/>
      <c r="J23" s="6"/>
      <c r="K23" s="6"/>
      <c r="L23" s="7"/>
      <c r="M23" s="8"/>
    </row>
    <row r="24" spans="1:13" ht="25.2" x14ac:dyDescent="0.25">
      <c r="A24" s="17">
        <f>'التقرير اليومى'!A43</f>
        <v>46056</v>
      </c>
      <c r="B24" s="12">
        <f>'التقرير اليومى'!D42</f>
        <v>32.71</v>
      </c>
      <c r="C24" s="12">
        <f>'التقرير اليومى'!G42</f>
        <v>32.979999999999997</v>
      </c>
      <c r="D24" s="15">
        <f t="shared" si="0"/>
        <v>8.2543564659124432E-3</v>
      </c>
      <c r="E24" s="12">
        <f>'التقرير اليومى'!D43</f>
        <v>66.489999999999995</v>
      </c>
      <c r="F24" s="12">
        <f>'التقرير اليومى'!G43</f>
        <v>67.099999999999994</v>
      </c>
      <c r="G24" s="15">
        <f t="shared" si="1"/>
        <v>9.1743119266054964E-3</v>
      </c>
      <c r="H24" s="5"/>
      <c r="I24" s="6"/>
      <c r="J24" s="6"/>
      <c r="K24" s="6"/>
      <c r="L24" s="7"/>
      <c r="M24" s="8"/>
    </row>
    <row r="25" spans="1:13" ht="25.2" x14ac:dyDescent="0.25">
      <c r="A25" s="17">
        <f>'التقرير اليومى'!A45</f>
        <v>46057</v>
      </c>
      <c r="B25" s="12">
        <f>'التقرير اليومى'!D44</f>
        <v>32.979999999999997</v>
      </c>
      <c r="C25" s="12">
        <f>'التقرير اليومى'!G44</f>
        <v>32.39</v>
      </c>
      <c r="D25" s="15">
        <f t="shared" si="0"/>
        <v>-1.7889630078835549E-2</v>
      </c>
      <c r="E25" s="12">
        <f>'التقرير اليومى'!D45</f>
        <v>67.099999999999994</v>
      </c>
      <c r="F25" s="12">
        <f>'التقرير اليومى'!G45</f>
        <v>65.97</v>
      </c>
      <c r="G25" s="15">
        <f t="shared" si="1"/>
        <v>-1.6840536512667596E-2</v>
      </c>
      <c r="H25" s="5"/>
      <c r="I25" s="6"/>
      <c r="J25" s="6"/>
      <c r="K25" s="6"/>
      <c r="L25" s="7"/>
      <c r="M25" s="8"/>
    </row>
    <row r="26" spans="1:13" ht="25.2" x14ac:dyDescent="0.25">
      <c r="A26" s="17">
        <f>'التقرير اليومى'!A46</f>
        <v>46058</v>
      </c>
      <c r="B26" s="12">
        <f>'التقرير اليومى'!D46</f>
        <v>32.39</v>
      </c>
      <c r="C26" s="12">
        <f>'التقرير اليومى'!G46</f>
        <v>32.01</v>
      </c>
      <c r="D26" s="15">
        <f t="shared" si="0"/>
        <v>-1.1732016054337838E-2</v>
      </c>
      <c r="E26" s="12">
        <f>'التقرير اليومى'!D47</f>
        <v>65.97</v>
      </c>
      <c r="F26" s="12">
        <f>'التقرير اليومى'!G47</f>
        <v>65.66</v>
      </c>
      <c r="G26" s="15">
        <f t="shared" si="1"/>
        <v>-4.6991056540852246E-3</v>
      </c>
      <c r="H26" s="5"/>
      <c r="I26" s="6"/>
      <c r="J26" s="6"/>
      <c r="K26" s="6"/>
      <c r="L26" s="7"/>
      <c r="M26" s="8"/>
    </row>
    <row r="27" spans="1:13" ht="25.2" x14ac:dyDescent="0.25">
      <c r="A27" s="17">
        <f>'التقرير اليومى'!A49</f>
        <v>46061</v>
      </c>
      <c r="B27" s="12">
        <f>'التقرير اليومى'!D48</f>
        <v>32.01</v>
      </c>
      <c r="C27" s="12">
        <f>'التقرير اليومى'!G48</f>
        <v>33</v>
      </c>
      <c r="D27" s="15">
        <f t="shared" si="0"/>
        <v>3.0927835051546455E-2</v>
      </c>
      <c r="E27" s="12">
        <f>'التقرير اليومى'!D49</f>
        <v>65.66</v>
      </c>
      <c r="F27" s="12">
        <f>'التقرير اليومى'!G49</f>
        <v>69.45</v>
      </c>
      <c r="G27" s="15">
        <f t="shared" si="1"/>
        <v>5.7721596101127114E-2</v>
      </c>
      <c r="H27" s="5"/>
      <c r="I27" s="6"/>
      <c r="J27" s="6"/>
      <c r="K27" s="6"/>
      <c r="L27" s="7"/>
      <c r="M27" s="8"/>
    </row>
    <row r="28" spans="1:13" ht="25.2" x14ac:dyDescent="0.25">
      <c r="A28" s="17">
        <f>'التقرير اليومى'!A50</f>
        <v>46062</v>
      </c>
      <c r="B28" s="12">
        <f>'التقرير اليومى'!D50</f>
        <v>33</v>
      </c>
      <c r="C28" s="12">
        <f>'التقرير اليومى'!G50</f>
        <v>32.700000000000003</v>
      </c>
      <c r="D28" s="15">
        <f t="shared" si="0"/>
        <v>-9.0909090909090055E-3</v>
      </c>
      <c r="E28" s="12">
        <f>'التقرير اليومى'!D51</f>
        <v>69.45</v>
      </c>
      <c r="F28" s="12">
        <f>'التقرير اليومى'!G51</f>
        <v>68.8</v>
      </c>
      <c r="G28" s="15">
        <f t="shared" si="1"/>
        <v>-9.3592512598992903E-3</v>
      </c>
      <c r="H28" s="5"/>
      <c r="I28" s="6"/>
      <c r="J28" s="6"/>
      <c r="K28" s="6"/>
      <c r="L28" s="7"/>
      <c r="M28" s="8"/>
    </row>
    <row r="29" spans="1:13" ht="25.2" x14ac:dyDescent="0.25">
      <c r="A29" s="17" t="str">
        <f>'التقرير اليومى'!A52</f>
        <v>10/02/026</v>
      </c>
      <c r="B29" s="12">
        <f>'التقرير اليومى'!D52</f>
        <v>32.700000000000003</v>
      </c>
      <c r="C29" s="12">
        <f>'التقرير اليومى'!G52</f>
        <v>32.590000000000003</v>
      </c>
      <c r="D29" s="15">
        <f t="shared" si="0"/>
        <v>-3.3639143730886671E-3</v>
      </c>
      <c r="E29" s="12">
        <f>'التقرير اليومى'!D53</f>
        <v>68.8</v>
      </c>
      <c r="F29" s="12">
        <f>'التقرير اليومى'!G53</f>
        <v>69.3</v>
      </c>
      <c r="G29" s="15">
        <f t="shared" si="1"/>
        <v>7.2674418604651162E-3</v>
      </c>
      <c r="H29" s="5"/>
      <c r="I29" s="6"/>
      <c r="J29" s="6"/>
      <c r="K29" s="6"/>
      <c r="L29" s="7"/>
      <c r="M29" s="8"/>
    </row>
    <row r="30" spans="1:13" ht="25.2" x14ac:dyDescent="0.25">
      <c r="A30" s="17">
        <f>'التقرير اليومى'!A54</f>
        <v>46064</v>
      </c>
      <c r="B30" s="12">
        <f>'التقرير اليومى'!D54</f>
        <v>32.590000000000003</v>
      </c>
      <c r="C30" s="12">
        <f>'التقرير اليومى'!G54</f>
        <v>32.200000000000003</v>
      </c>
      <c r="D30" s="15">
        <f t="shared" si="0"/>
        <v>-1.1966861000306859E-2</v>
      </c>
      <c r="E30" s="12">
        <f>'التقرير اليومى'!D55</f>
        <v>69.3</v>
      </c>
      <c r="F30" s="12">
        <f>'التقرير اليومى'!G55</f>
        <v>69.55</v>
      </c>
      <c r="G30" s="15">
        <f t="shared" si="1"/>
        <v>3.6075036075036075E-3</v>
      </c>
      <c r="H30" s="5"/>
      <c r="I30" s="6"/>
      <c r="J30" s="6"/>
      <c r="K30" s="6"/>
      <c r="L30" s="7"/>
      <c r="M30" s="8"/>
    </row>
    <row r="31" spans="1:13" ht="25.2" x14ac:dyDescent="0.25">
      <c r="A31" s="17">
        <f>'التقرير اليومى'!A56</f>
        <v>46065</v>
      </c>
      <c r="B31" s="12">
        <f>'التقرير اليومى'!D56</f>
        <v>32.200000000000003</v>
      </c>
      <c r="C31" s="12">
        <f>'التقرير اليومى'!G56</f>
        <v>32.4</v>
      </c>
      <c r="D31" s="15">
        <f t="shared" si="0"/>
        <v>6.2111801242234694E-3</v>
      </c>
      <c r="E31" s="12">
        <f>'التقرير اليومى'!D57</f>
        <v>69.55</v>
      </c>
      <c r="F31" s="12">
        <f>'التقرير اليومى'!G57</f>
        <v>69.72</v>
      </c>
      <c r="G31" s="15">
        <f t="shared" si="1"/>
        <v>2.4442846872753661E-3</v>
      </c>
      <c r="H31" s="5"/>
      <c r="I31" s="6"/>
      <c r="J31" s="6"/>
      <c r="K31" s="6"/>
      <c r="L31" s="7"/>
      <c r="M31" s="8"/>
    </row>
    <row r="32" spans="1:13" ht="25.2" x14ac:dyDescent="0.25">
      <c r="A32" s="17">
        <f>'التقرير اليومى'!A58</f>
        <v>46068</v>
      </c>
      <c r="B32" s="12">
        <f>'التقرير اليومى'!D58</f>
        <v>32.4</v>
      </c>
      <c r="C32" s="12">
        <f>'التقرير اليومى'!G58</f>
        <v>33.65</v>
      </c>
      <c r="D32" s="15">
        <f t="shared" si="0"/>
        <v>3.8580246913580252E-2</v>
      </c>
      <c r="E32" s="12">
        <f>'التقرير اليومى'!D59</f>
        <v>69.72</v>
      </c>
      <c r="F32" s="12">
        <f>'التقرير اليومى'!G59</f>
        <v>71.87</v>
      </c>
      <c r="G32" s="15">
        <f t="shared" si="1"/>
        <v>3.0837636259323089E-2</v>
      </c>
      <c r="H32" s="5"/>
      <c r="I32" s="6"/>
      <c r="J32" s="6"/>
      <c r="K32" s="6"/>
      <c r="L32" s="7"/>
      <c r="M32" s="8"/>
    </row>
    <row r="33" spans="1:13" ht="25.2" x14ac:dyDescent="0.25">
      <c r="A33" s="17">
        <f>'التقرير اليومى'!A60</f>
        <v>46069</v>
      </c>
      <c r="B33" s="12">
        <f>'التقرير اليومى'!D60</f>
        <v>33.65</v>
      </c>
      <c r="C33" s="12">
        <f>'التقرير اليومى'!G60</f>
        <v>35.020000000000003</v>
      </c>
      <c r="D33" s="15">
        <f t="shared" si="0"/>
        <v>4.0713224368499397E-2</v>
      </c>
      <c r="E33" s="12">
        <f>'التقرير اليومى'!D61</f>
        <v>71.87</v>
      </c>
      <c r="F33" s="12">
        <f>'التقرير اليومى'!G61</f>
        <v>70.3</v>
      </c>
      <c r="G33" s="15">
        <f t="shared" si="1"/>
        <v>-2.184499791289839E-2</v>
      </c>
      <c r="H33" s="5"/>
      <c r="I33" s="6"/>
      <c r="J33" s="6"/>
      <c r="K33" s="6"/>
      <c r="L33" s="7"/>
      <c r="M33" s="8"/>
    </row>
    <row r="34" spans="1:13" ht="25.2" x14ac:dyDescent="0.25">
      <c r="A34" s="17">
        <f>'التقرير اليومى'!A62</f>
        <v>46070</v>
      </c>
      <c r="B34" s="12">
        <f>'التقرير اليومى'!D62</f>
        <v>35.020000000000003</v>
      </c>
      <c r="C34" s="12">
        <f>'التقرير اليومى'!G62</f>
        <v>37.57</v>
      </c>
      <c r="D34" s="15">
        <f t="shared" si="0"/>
        <v>7.2815533980582436E-2</v>
      </c>
      <c r="E34" s="12">
        <f>'التقرير اليومى'!D63</f>
        <v>70.3</v>
      </c>
      <c r="F34" s="12">
        <f>'التقرير اليومى'!G63</f>
        <v>68.989999999999995</v>
      </c>
      <c r="G34" s="15">
        <f t="shared" si="1"/>
        <v>-1.8634423897581825E-2</v>
      </c>
      <c r="H34" s="5"/>
      <c r="I34" s="6"/>
      <c r="J34" s="6"/>
      <c r="K34" s="6"/>
      <c r="L34" s="7"/>
      <c r="M34" s="8"/>
    </row>
    <row r="35" spans="1:13" ht="25.2" x14ac:dyDescent="0.25">
      <c r="A35" s="17">
        <f>'التقرير اليومى'!A64</f>
        <v>46071</v>
      </c>
      <c r="B35" s="12">
        <f>'التقرير اليومى'!D64</f>
        <v>37.57</v>
      </c>
      <c r="C35" s="12">
        <f>'التقرير اليومى'!G64</f>
        <v>37.01</v>
      </c>
      <c r="D35" s="15">
        <f t="shared" si="0"/>
        <v>-1.4905509715198356E-2</v>
      </c>
      <c r="E35" s="12">
        <f>'التقرير اليومى'!D65</f>
        <v>68.989999999999995</v>
      </c>
      <c r="F35" s="12">
        <f>'التقرير اليومى'!G65</f>
        <v>68.7</v>
      </c>
      <c r="G35" s="15">
        <f t="shared" si="1"/>
        <v>-4.2035077547469494E-3</v>
      </c>
      <c r="H35" s="5"/>
      <c r="I35" s="6"/>
      <c r="J35" s="6"/>
      <c r="K35" s="6"/>
      <c r="L35" s="7"/>
      <c r="M35" s="8"/>
    </row>
    <row r="36" spans="1:13" ht="25.2" x14ac:dyDescent="0.25">
      <c r="A36" s="17">
        <f>'التقرير اليومى'!A66</f>
        <v>46072</v>
      </c>
      <c r="B36" s="12">
        <f>'التقرير اليومى'!D66</f>
        <v>37.01</v>
      </c>
      <c r="C36" s="12">
        <f>'التقرير اليومى'!G66</f>
        <v>35.659999999999997</v>
      </c>
      <c r="D36" s="15">
        <f t="shared" si="0"/>
        <v>-3.6476627938395068E-2</v>
      </c>
      <c r="E36" s="12">
        <f>'التقرير اليومى'!D67</f>
        <v>68.7</v>
      </c>
      <c r="F36" s="12">
        <f>'التقرير اليومى'!G67</f>
        <v>67.650000000000006</v>
      </c>
      <c r="G36" s="15">
        <f t="shared" si="1"/>
        <v>-1.5283842794759783E-2</v>
      </c>
      <c r="H36" s="5"/>
      <c r="I36" s="6"/>
      <c r="J36" s="6"/>
      <c r="K36" s="6"/>
      <c r="L36" s="7"/>
      <c r="M36" s="8"/>
    </row>
    <row r="37" spans="1:13" ht="25.2" x14ac:dyDescent="0.25">
      <c r="A37" s="17">
        <f>'التقرير اليومى'!A68</f>
        <v>46075</v>
      </c>
      <c r="B37" s="12">
        <f>'التقرير اليومى'!D68</f>
        <v>35.659999999999997</v>
      </c>
      <c r="C37" s="12">
        <f>'التقرير اليومى'!G68</f>
        <v>35.25</v>
      </c>
      <c r="D37" s="15">
        <f t="shared" si="0"/>
        <v>-1.1497476163768835E-2</v>
      </c>
      <c r="E37" s="12">
        <f>'التقرير اليومى'!D69</f>
        <v>67.650000000000006</v>
      </c>
      <c r="F37" s="12">
        <f>'التقرير اليومى'!G69</f>
        <v>67</v>
      </c>
      <c r="G37" s="15">
        <f t="shared" si="1"/>
        <v>-9.6082779009609102E-3</v>
      </c>
      <c r="H37" s="5"/>
      <c r="I37" s="6"/>
      <c r="J37" s="6"/>
      <c r="K37" s="6"/>
      <c r="L37" s="7"/>
      <c r="M37" s="8"/>
    </row>
    <row r="38" spans="1:13" ht="25.2" x14ac:dyDescent="0.25">
      <c r="A38" s="17">
        <f>'التقرير اليومى'!A70</f>
        <v>46076</v>
      </c>
      <c r="B38" s="12">
        <f>'التقرير اليومى'!D70</f>
        <v>35.25</v>
      </c>
      <c r="C38" s="12">
        <f>'التقرير اليومى'!G70</f>
        <v>37.200000000000003</v>
      </c>
      <c r="D38" s="15">
        <f t="shared" si="0"/>
        <v>5.5319148936170293E-2</v>
      </c>
      <c r="E38" s="12">
        <f>'التقرير اليومى'!D71</f>
        <v>67</v>
      </c>
      <c r="F38" s="12">
        <f>'التقرير اليومى'!G71</f>
        <v>70.099999999999994</v>
      </c>
      <c r="G38" s="15">
        <f t="shared" si="1"/>
        <v>4.6268656716417826E-2</v>
      </c>
      <c r="H38" s="5"/>
      <c r="I38" s="6"/>
      <c r="J38" s="6"/>
      <c r="K38" s="6"/>
      <c r="L38" s="7"/>
      <c r="M38" s="8"/>
    </row>
    <row r="39" spans="1:13" ht="25.2" x14ac:dyDescent="0.25">
      <c r="A39" s="17">
        <f>'التقرير اليومى'!A72</f>
        <v>46077</v>
      </c>
      <c r="B39" s="12">
        <f>'التقرير اليومى'!D72</f>
        <v>37.200000000000003</v>
      </c>
      <c r="C39" s="12">
        <f>'التقرير اليومى'!G72</f>
        <v>36.21</v>
      </c>
      <c r="D39" s="15">
        <f t="shared" si="0"/>
        <v>-2.6612903225806502E-2</v>
      </c>
      <c r="E39" s="12">
        <f>'التقرير اليومى'!D73</f>
        <v>70.099999999999994</v>
      </c>
      <c r="F39" s="12">
        <f>'التقرير اليومى'!G73</f>
        <v>69.02</v>
      </c>
      <c r="G39" s="15">
        <f t="shared" si="1"/>
        <v>-1.5406562054208251E-2</v>
      </c>
      <c r="H39" s="5"/>
      <c r="I39" s="6"/>
      <c r="J39" s="6"/>
      <c r="K39" s="6"/>
      <c r="L39" s="7"/>
      <c r="M39" s="8"/>
    </row>
    <row r="40" spans="1:13" ht="25.2" x14ac:dyDescent="0.25">
      <c r="A40" s="17">
        <f>'التقرير اليومى'!A74</f>
        <v>46078</v>
      </c>
      <c r="B40" s="12">
        <f>'التقرير اليومى'!D74</f>
        <v>36.21</v>
      </c>
      <c r="C40" s="12">
        <f>'التقرير اليومى'!G74</f>
        <v>35.5</v>
      </c>
      <c r="D40" s="15">
        <f t="shared" si="0"/>
        <v>-1.9607843137254926E-2</v>
      </c>
      <c r="E40" s="12">
        <f>'التقرير اليومى'!D75</f>
        <v>69.02</v>
      </c>
      <c r="F40" s="12">
        <f>'التقرير اليومى'!G75</f>
        <v>68.3</v>
      </c>
      <c r="G40" s="15">
        <f t="shared" si="1"/>
        <v>-1.043175891046072E-2</v>
      </c>
      <c r="H40" s="5"/>
      <c r="I40" s="6"/>
      <c r="J40" s="6"/>
      <c r="K40" s="6"/>
      <c r="L40" s="7"/>
      <c r="M40" s="8"/>
    </row>
    <row r="41" spans="1:13" ht="25.2" x14ac:dyDescent="0.25">
      <c r="A41" s="17">
        <f>'التقرير اليومى'!A76</f>
        <v>46079</v>
      </c>
      <c r="B41" s="12">
        <f>'التقرير اليومى'!D76</f>
        <v>35.5</v>
      </c>
      <c r="C41" s="12">
        <f>'التقرير اليومى'!G76</f>
        <v>36.51</v>
      </c>
      <c r="D41" s="15">
        <f t="shared" si="0"/>
        <v>2.8450704225352057E-2</v>
      </c>
      <c r="E41" s="12">
        <f>'التقرير اليومى'!D77</f>
        <v>68.3</v>
      </c>
      <c r="F41" s="12">
        <f>'التقرير اليومى'!G77</f>
        <v>69.7</v>
      </c>
      <c r="G41" s="15">
        <f t="shared" si="1"/>
        <v>2.0497803806735077E-2</v>
      </c>
      <c r="H41" s="5"/>
      <c r="I41" s="6"/>
      <c r="J41" s="6"/>
      <c r="K41" s="6"/>
      <c r="L41" s="7"/>
      <c r="M41" s="8"/>
    </row>
    <row r="42" spans="1:13" ht="25.2" x14ac:dyDescent="0.25">
      <c r="A42" s="17">
        <f>'التقرير اليومى'!A78</f>
        <v>46082</v>
      </c>
      <c r="B42" s="12">
        <f>'التقرير اليومى'!D78</f>
        <v>36.51</v>
      </c>
      <c r="C42" s="12">
        <f>'التقرير اليومى'!G78</f>
        <v>36</v>
      </c>
      <c r="D42" s="15">
        <f t="shared" si="0"/>
        <v>-1.3968775677896414E-2</v>
      </c>
      <c r="E42" s="12">
        <f>'التقرير اليومى'!D79</f>
        <v>69.7</v>
      </c>
      <c r="F42" s="12">
        <f>'التقرير اليومى'!G79</f>
        <v>68.8</v>
      </c>
      <c r="G42" s="15">
        <f t="shared" si="1"/>
        <v>-1.2912482065997212E-2</v>
      </c>
      <c r="H42" s="5"/>
      <c r="I42" s="6"/>
      <c r="J42" s="6"/>
      <c r="K42" s="6"/>
      <c r="L42" s="7"/>
      <c r="M42" s="8"/>
    </row>
    <row r="43" spans="1:13" ht="25.2" x14ac:dyDescent="0.25">
      <c r="A43" s="17">
        <f>'التقرير اليومى'!A80</f>
        <v>46083</v>
      </c>
      <c r="B43" s="12">
        <f>'التقرير اليومى'!D80</f>
        <v>36</v>
      </c>
      <c r="C43" s="12">
        <f>'التقرير اليومى'!G80</f>
        <v>36.01</v>
      </c>
      <c r="D43" s="15">
        <f t="shared" si="0"/>
        <v>2.7777777777772254E-4</v>
      </c>
      <c r="E43" s="12">
        <f>'التقرير اليومى'!D81</f>
        <v>68.8</v>
      </c>
      <c r="F43" s="12">
        <f>'التقرير اليومى'!G81</f>
        <v>67.8</v>
      </c>
      <c r="G43" s="15">
        <f t="shared" si="1"/>
        <v>-1.4534883720930232E-2</v>
      </c>
      <c r="H43" s="5"/>
      <c r="I43" s="6"/>
      <c r="J43" s="6"/>
      <c r="K43" s="6"/>
      <c r="L43" s="7"/>
      <c r="M43" s="8"/>
    </row>
    <row r="44" spans="1:13" ht="25.2" x14ac:dyDescent="0.25">
      <c r="A44" s="17">
        <f>'التقرير اليومى'!A82</f>
        <v>46084</v>
      </c>
      <c r="B44" s="12">
        <f>'التقرير اليومى'!D82</f>
        <v>36.01</v>
      </c>
      <c r="C44" s="12">
        <f>'التقرير اليومى'!G82</f>
        <v>38.5</v>
      </c>
      <c r="D44" s="15">
        <f t="shared" si="0"/>
        <v>6.9147459039155854E-2</v>
      </c>
      <c r="E44" s="12">
        <f>'التقرير اليومى'!D83</f>
        <v>67.8</v>
      </c>
      <c r="F44" s="12">
        <f>'التقرير اليومى'!G83</f>
        <v>77.89</v>
      </c>
      <c r="G44" s="15">
        <f t="shared" si="1"/>
        <v>0.1488200589970502</v>
      </c>
      <c r="H44" s="5"/>
      <c r="I44" s="6"/>
      <c r="J44" s="6"/>
      <c r="K44" s="6"/>
      <c r="L44" s="7"/>
      <c r="M44" s="8"/>
    </row>
    <row r="45" spans="1:13" ht="25.2" x14ac:dyDescent="0.25">
      <c r="A45" s="17">
        <f>'التقرير اليومى'!A84</f>
        <v>46085</v>
      </c>
      <c r="B45" s="12">
        <f>'التقرير اليومى'!D84</f>
        <v>38.5</v>
      </c>
      <c r="C45" s="12">
        <f>'التقرير اليومى'!G84</f>
        <v>40.53</v>
      </c>
      <c r="D45" s="15">
        <f t="shared" si="0"/>
        <v>5.2727272727272755E-2</v>
      </c>
      <c r="E45" s="12">
        <f>'التقرير اليومى'!D85</f>
        <v>77.89</v>
      </c>
      <c r="F45" s="12">
        <f>'التقرير اليومى'!G85</f>
        <v>78.64</v>
      </c>
      <c r="G45" s="15">
        <f t="shared" si="1"/>
        <v>9.6289639234818335E-3</v>
      </c>
      <c r="H45" s="5"/>
      <c r="I45" s="6"/>
      <c r="J45" s="6"/>
      <c r="K45" s="6"/>
      <c r="L45" s="7"/>
      <c r="M45" s="8"/>
    </row>
    <row r="46" spans="1:13" ht="25.2" x14ac:dyDescent="0.25">
      <c r="A46" s="17">
        <f>'التقرير اليومى'!A86</f>
        <v>46086</v>
      </c>
      <c r="B46" s="12">
        <f>'التقرير اليومى'!D86</f>
        <v>40.53</v>
      </c>
      <c r="C46" s="12">
        <f>'التقرير اليومى'!G86</f>
        <v>39.65</v>
      </c>
      <c r="D46" s="15">
        <f t="shared" si="0"/>
        <v>-2.1712311867752344E-2</v>
      </c>
      <c r="E46" s="12">
        <f>'التقرير اليومى'!D87</f>
        <v>78.64</v>
      </c>
      <c r="F46" s="12">
        <f>'التقرير اليومى'!G87</f>
        <v>77.930000000000007</v>
      </c>
      <c r="G46" s="15">
        <f t="shared" si="1"/>
        <v>-9.0284842319429525E-3</v>
      </c>
      <c r="H46" s="5"/>
      <c r="I46" s="6"/>
      <c r="J46" s="6"/>
      <c r="K46" s="6"/>
      <c r="L46" s="7"/>
      <c r="M46" s="8"/>
    </row>
    <row r="47" spans="1:13" ht="25.2" x14ac:dyDescent="0.25">
      <c r="A47" s="17">
        <f>'التقرير اليومى'!A88</f>
        <v>46089</v>
      </c>
      <c r="B47" s="12">
        <f>'التقرير اليومى'!D88</f>
        <v>39.65</v>
      </c>
      <c r="C47" s="12">
        <f>'التقرير اليومى'!G88</f>
        <v>43.56</v>
      </c>
      <c r="D47" s="15">
        <f t="shared" si="0"/>
        <v>9.8612862547288876E-2</v>
      </c>
      <c r="E47" s="12">
        <f>'التقرير اليومى'!D89</f>
        <v>77.930000000000007</v>
      </c>
      <c r="F47" s="12">
        <f>'التقرير اليومى'!G89</f>
        <v>87</v>
      </c>
      <c r="G47" s="15">
        <f t="shared" si="1"/>
        <v>0.11638650070576148</v>
      </c>
      <c r="H47" s="5"/>
      <c r="I47" s="6"/>
      <c r="J47" s="6"/>
      <c r="K47" s="6"/>
      <c r="L47" s="7"/>
      <c r="M47" s="8"/>
    </row>
    <row r="48" spans="1:13" ht="25.2" x14ac:dyDescent="0.25">
      <c r="A48" s="17">
        <f>'التقرير اليومى'!A90</f>
        <v>46090</v>
      </c>
      <c r="B48" s="12">
        <f>'التقرير اليومى'!D90</f>
        <v>43.56</v>
      </c>
      <c r="C48" s="12">
        <f>'التقرير اليومى'!G90</f>
        <v>43.3</v>
      </c>
      <c r="D48" s="15">
        <f t="shared" si="0"/>
        <v>-5.9687786960515403E-3</v>
      </c>
      <c r="E48" s="12">
        <f>'التقرير اليومى'!D91</f>
        <v>87</v>
      </c>
      <c r="F48" s="12">
        <f>'التقرير اليومى'!G91</f>
        <v>84.1</v>
      </c>
      <c r="G48" s="15">
        <f t="shared" si="1"/>
        <v>-3.3333333333333395E-2</v>
      </c>
      <c r="H48" s="5"/>
      <c r="I48" s="6"/>
      <c r="J48" s="6"/>
      <c r="K48" s="6"/>
      <c r="L48" s="7"/>
      <c r="M48" s="8"/>
    </row>
    <row r="49" spans="1:13" ht="25.2" x14ac:dyDescent="0.25">
      <c r="A49" s="17">
        <f>'التقرير اليومى'!A92</f>
        <v>46091</v>
      </c>
      <c r="B49" s="12">
        <f>'التقرير اليومى'!D92</f>
        <v>43.3</v>
      </c>
      <c r="C49" s="12">
        <f>'التقرير اليومى'!G92</f>
        <v>41.9</v>
      </c>
      <c r="D49" s="15">
        <f t="shared" si="0"/>
        <v>-3.2332563510392577E-2</v>
      </c>
      <c r="E49" s="12">
        <f>'التقرير اليومى'!D93</f>
        <v>84.1</v>
      </c>
      <c r="F49" s="12">
        <f>'التقرير اليومى'!G93</f>
        <v>79.900000000000006</v>
      </c>
      <c r="G49" s="15">
        <f t="shared" si="1"/>
        <v>-4.9940546967895232E-2</v>
      </c>
      <c r="H49" s="5"/>
      <c r="I49" s="6"/>
      <c r="J49" s="6"/>
      <c r="K49" s="6"/>
      <c r="L49" s="7"/>
      <c r="M49" s="8"/>
    </row>
    <row r="50" spans="1:13" ht="25.2" x14ac:dyDescent="0.25">
      <c r="A50" s="17">
        <f>'التقرير اليومى'!A94</f>
        <v>46092</v>
      </c>
      <c r="B50" s="12">
        <f>'التقرير اليومى'!D94</f>
        <v>41.9</v>
      </c>
      <c r="C50" s="12">
        <f>'التقرير اليومى'!G94</f>
        <v>43.51</v>
      </c>
      <c r="D50" s="15">
        <f t="shared" si="0"/>
        <v>3.8424821002386624E-2</v>
      </c>
      <c r="E50" s="12">
        <f>'التقرير اليومى'!D95</f>
        <v>79.900000000000006</v>
      </c>
      <c r="F50" s="12">
        <f>'التقرير اليومى'!G95</f>
        <v>85</v>
      </c>
      <c r="G50" s="15">
        <f t="shared" si="1"/>
        <v>6.3829787234042479E-2</v>
      </c>
      <c r="H50" s="5"/>
      <c r="I50" s="6"/>
      <c r="J50" s="6"/>
      <c r="K50" s="6"/>
      <c r="L50" s="7"/>
      <c r="M50" s="8"/>
    </row>
    <row r="51" spans="1:13" ht="25.2" x14ac:dyDescent="0.25">
      <c r="A51" s="17">
        <f>'التقرير اليومى'!A96</f>
        <v>46093</v>
      </c>
      <c r="B51" s="12">
        <f>'التقرير اليومى'!D96</f>
        <v>43.51</v>
      </c>
      <c r="C51" s="12">
        <f>'التقرير اليومى'!G96</f>
        <v>44.5</v>
      </c>
      <c r="D51" s="15">
        <f t="shared" si="0"/>
        <v>2.2753390025281591E-2</v>
      </c>
      <c r="E51" s="12">
        <f>'التقرير اليومى'!D97</f>
        <v>85</v>
      </c>
      <c r="F51" s="12">
        <f>'التقرير اليومى'!G97</f>
        <v>88.06</v>
      </c>
      <c r="G51" s="15">
        <f t="shared" si="1"/>
        <v>3.6000000000000025E-2</v>
      </c>
      <c r="H51" s="5"/>
      <c r="I51" s="6"/>
      <c r="J51" s="6"/>
      <c r="K51" s="6"/>
      <c r="L51" s="7"/>
      <c r="M51" s="8"/>
    </row>
    <row r="52" spans="1:13" ht="25.2" x14ac:dyDescent="0.25">
      <c r="A52" s="17">
        <f>'التقرير اليومى'!A98</f>
        <v>46096</v>
      </c>
      <c r="B52" s="12">
        <f>'التقرير اليومى'!D98</f>
        <v>44.5</v>
      </c>
      <c r="C52" s="12">
        <f>'التقرير اليومى'!G98</f>
        <v>44.63</v>
      </c>
      <c r="D52" s="15">
        <f t="shared" si="0"/>
        <v>2.9213483146067992E-3</v>
      </c>
      <c r="E52" s="12">
        <f>'التقرير اليومى'!D99</f>
        <v>88.06</v>
      </c>
      <c r="F52" s="12">
        <f>'التقرير اليومى'!G99</f>
        <v>86</v>
      </c>
      <c r="G52" s="15">
        <f t="shared" si="1"/>
        <v>-2.3393141040199888E-2</v>
      </c>
      <c r="H52" s="5"/>
      <c r="I52" s="6"/>
      <c r="J52" s="6"/>
      <c r="K52" s="6"/>
      <c r="L52" s="7"/>
      <c r="M52" s="8"/>
    </row>
    <row r="53" spans="1:13" ht="25.2" x14ac:dyDescent="0.25">
      <c r="A53" s="17">
        <f>'التقرير اليومى'!A100</f>
        <v>46097</v>
      </c>
      <c r="B53" s="12">
        <f>'التقرير اليومى'!D100</f>
        <v>44.63</v>
      </c>
      <c r="C53" s="12">
        <f>'التقرير اليومى'!G100</f>
        <v>43.2</v>
      </c>
      <c r="D53" s="15">
        <f t="shared" si="0"/>
        <v>-3.2041227873627599E-2</v>
      </c>
      <c r="E53" s="12">
        <f>'التقرير اليومى'!D101</f>
        <v>86</v>
      </c>
      <c r="F53" s="12">
        <f>'التقرير اليومى'!G101</f>
        <v>86.67</v>
      </c>
      <c r="G53" s="15">
        <f t="shared" si="1"/>
        <v>7.7906976744186243E-3</v>
      </c>
      <c r="H53" s="5"/>
      <c r="I53" s="6"/>
      <c r="J53" s="6"/>
      <c r="K53" s="6"/>
      <c r="L53" s="7"/>
      <c r="M53" s="8"/>
    </row>
    <row r="54" spans="1:13" ht="25.2" x14ac:dyDescent="0.25">
      <c r="A54" s="17">
        <f>'التقرير اليومى'!A102</f>
        <v>46098</v>
      </c>
      <c r="B54" s="12">
        <f>'التقرير اليومى'!D102</f>
        <v>43.2</v>
      </c>
      <c r="C54" s="12">
        <f>'التقرير اليومى'!G102</f>
        <v>42.88</v>
      </c>
      <c r="D54" s="15">
        <f t="shared" si="0"/>
        <v>-7.4074074074074138E-3</v>
      </c>
      <c r="E54" s="12">
        <f>'التقرير اليومى'!D103</f>
        <v>86.67</v>
      </c>
      <c r="F54" s="12">
        <f>'التقرير اليومى'!G103</f>
        <v>87.55</v>
      </c>
      <c r="G54" s="15">
        <f t="shared" si="1"/>
        <v>1.0153455636321628E-2</v>
      </c>
      <c r="H54" s="5"/>
      <c r="I54" s="6"/>
      <c r="J54" s="6"/>
      <c r="K54" s="6"/>
      <c r="L54" s="7"/>
      <c r="M54" s="8"/>
    </row>
    <row r="55" spans="1:13" ht="25.2" x14ac:dyDescent="0.25">
      <c r="A55" s="17">
        <f>'التقرير اليومى'!A104</f>
        <v>46099</v>
      </c>
      <c r="B55" s="12">
        <f>'التقرير اليومى'!D104</f>
        <v>42.88</v>
      </c>
      <c r="C55" s="12">
        <f>'التقرير اليومى'!G104</f>
        <v>43.19</v>
      </c>
      <c r="D55" s="15">
        <f t="shared" si="0"/>
        <v>7.2294776119401858E-3</v>
      </c>
      <c r="E55" s="12">
        <f>'التقرير اليومى'!D105</f>
        <v>87.55</v>
      </c>
      <c r="F55" s="12">
        <f>'التقرير اليومى'!G105</f>
        <v>87</v>
      </c>
      <c r="G55" s="15">
        <f t="shared" si="1"/>
        <v>-6.2821245002855188E-3</v>
      </c>
      <c r="H55" s="5"/>
      <c r="I55" s="6"/>
      <c r="J55" s="6"/>
      <c r="K55" s="6"/>
      <c r="L55" s="7"/>
      <c r="M55" s="8"/>
    </row>
    <row r="56" spans="1:13" ht="25.2" x14ac:dyDescent="0.25">
      <c r="A56" s="17">
        <f>'التقرير اليومى'!A106</f>
        <v>46105</v>
      </c>
      <c r="B56" s="12">
        <f>'التقرير اليومى'!D106</f>
        <v>43.19</v>
      </c>
      <c r="C56" s="12">
        <f>'التقرير اليومى'!G106</f>
        <v>45.52</v>
      </c>
      <c r="D56" s="15">
        <f t="shared" si="0"/>
        <v>5.3947673072470607E-2</v>
      </c>
      <c r="E56" s="12">
        <f>'التقرير اليومى'!D107</f>
        <v>87</v>
      </c>
      <c r="F56" s="12">
        <f>'التقرير اليومى'!G107</f>
        <v>94</v>
      </c>
      <c r="G56" s="15">
        <f t="shared" si="1"/>
        <v>8.0459770114942528E-2</v>
      </c>
      <c r="H56" s="5"/>
      <c r="I56" s="6"/>
      <c r="J56" s="6"/>
      <c r="K56" s="6"/>
      <c r="L56" s="7"/>
      <c r="M56" s="8"/>
    </row>
    <row r="57" spans="1:13" ht="25.2" x14ac:dyDescent="0.25">
      <c r="A57" s="17">
        <f>'التقرير اليومى'!A108</f>
        <v>46106</v>
      </c>
      <c r="B57" s="12">
        <f>'التقرير اليومى'!D108</f>
        <v>45.52</v>
      </c>
      <c r="C57" s="12">
        <f>'التقرير اليومى'!G108</f>
        <v>43.79</v>
      </c>
      <c r="D57" s="15">
        <f t="shared" si="0"/>
        <v>-3.8005272407732951E-2</v>
      </c>
      <c r="E57" s="12">
        <f>'التقرير اليومى'!D109</f>
        <v>94</v>
      </c>
      <c r="F57" s="12">
        <f>'التقرير اليومى'!G109</f>
        <v>92.5</v>
      </c>
      <c r="G57" s="15">
        <f t="shared" si="1"/>
        <v>-1.5957446808510637E-2</v>
      </c>
      <c r="H57" s="5"/>
      <c r="I57" s="6"/>
      <c r="J57" s="6"/>
      <c r="K57" s="6"/>
      <c r="L57" s="7"/>
      <c r="M57" s="8"/>
    </row>
    <row r="58" spans="1:13" ht="25.2" x14ac:dyDescent="0.25">
      <c r="A58" s="17">
        <f>'التقرير اليومى'!A110</f>
        <v>46107</v>
      </c>
      <c r="B58" s="12">
        <f>'التقرير اليومى'!D110</f>
        <v>43.79</v>
      </c>
      <c r="C58" s="12">
        <f>'التقرير اليومى'!G110</f>
        <v>41.98</v>
      </c>
      <c r="D58" s="15">
        <f t="shared" si="0"/>
        <v>-4.1333637816853216E-2</v>
      </c>
      <c r="E58" s="12">
        <f>'التقرير اليومى'!D111</f>
        <v>92.5</v>
      </c>
      <c r="F58" s="12">
        <f>'التقرير اليومى'!G111</f>
        <v>89</v>
      </c>
      <c r="G58" s="15">
        <f t="shared" si="1"/>
        <v>-3.783783783783784E-2</v>
      </c>
      <c r="H58" s="5"/>
      <c r="I58" s="6"/>
      <c r="J58" s="6"/>
      <c r="K58" s="6"/>
      <c r="L58" s="7"/>
      <c r="M58" s="8"/>
    </row>
    <row r="59" spans="1:13" ht="25.2" x14ac:dyDescent="0.25">
      <c r="A59" s="17">
        <f>'التقرير اليومى'!A112</f>
        <v>46110</v>
      </c>
      <c r="B59" s="12">
        <f>'التقرير اليومى'!D112</f>
        <v>41.98</v>
      </c>
      <c r="C59" s="12">
        <f>'التقرير اليومى'!G112</f>
        <v>40.35</v>
      </c>
      <c r="D59" s="15">
        <f t="shared" si="0"/>
        <v>-3.8828013339685462E-2</v>
      </c>
      <c r="E59" s="12">
        <f>'التقرير اليومى'!D113</f>
        <v>89</v>
      </c>
      <c r="F59" s="12">
        <f>'التقرير اليومى'!G113</f>
        <v>85.04</v>
      </c>
      <c r="G59" s="15">
        <f t="shared" si="1"/>
        <v>-4.4494382022471843E-2</v>
      </c>
      <c r="H59" s="5"/>
      <c r="I59" s="6"/>
      <c r="J59" s="6"/>
      <c r="K59" s="6"/>
      <c r="L59" s="7"/>
      <c r="M59" s="8"/>
    </row>
    <row r="60" spans="1:13" ht="25.2" x14ac:dyDescent="0.25">
      <c r="A60" s="17">
        <f>'التقرير اليومى'!A114</f>
        <v>46111</v>
      </c>
      <c r="B60" s="12">
        <f>'التقرير اليومى'!D114</f>
        <v>40.35</v>
      </c>
      <c r="C60" s="12">
        <f>'التقرير اليومى'!G114</f>
        <v>39.9</v>
      </c>
      <c r="D60" s="15">
        <f t="shared" si="0"/>
        <v>-1.1152416356877394E-2</v>
      </c>
      <c r="E60" s="12">
        <f>'التقرير اليومى'!D115</f>
        <v>85.04</v>
      </c>
      <c r="F60" s="12">
        <f>'التقرير اليومى'!G115</f>
        <v>80.95</v>
      </c>
      <c r="G60" s="15">
        <f t="shared" si="1"/>
        <v>-4.8095014111006619E-2</v>
      </c>
      <c r="H60" s="5"/>
      <c r="I60" s="6"/>
      <c r="J60" s="6"/>
      <c r="K60" s="6"/>
      <c r="L60" s="7"/>
      <c r="M60" s="8"/>
    </row>
    <row r="61" spans="1:13" ht="25.2" x14ac:dyDescent="0.25">
      <c r="A61" s="17">
        <f>'التقرير اليومى'!A116</f>
        <v>46112</v>
      </c>
      <c r="B61" s="12">
        <f>'التقرير اليومى'!D116</f>
        <v>39.9</v>
      </c>
      <c r="C61" s="12">
        <f>'التقرير اليومى'!G116</f>
        <v>40.75</v>
      </c>
      <c r="D61" s="15">
        <f t="shared" si="0"/>
        <v>2.1303258145363446E-2</v>
      </c>
      <c r="E61" s="12">
        <f>'التقرير اليومى'!D117</f>
        <v>80.95</v>
      </c>
      <c r="F61" s="12">
        <f>'التقرير اليومى'!G117</f>
        <v>81.7</v>
      </c>
      <c r="G61" s="15">
        <f t="shared" si="1"/>
        <v>9.2649783817171094E-3</v>
      </c>
      <c r="H61" s="5"/>
      <c r="I61" s="6"/>
      <c r="J61" s="6"/>
      <c r="K61" s="6"/>
      <c r="L61" s="7"/>
      <c r="M61" s="8"/>
    </row>
    <row r="62" spans="1:13" ht="25.2" x14ac:dyDescent="0.25">
      <c r="A62" s="17">
        <f>'التقرير اليومى'!A118</f>
        <v>46113</v>
      </c>
      <c r="B62" s="12">
        <f>'التقرير اليومى'!D118</f>
        <v>40.75</v>
      </c>
      <c r="C62" s="12">
        <f>'التقرير اليومى'!G118</f>
        <v>40.44</v>
      </c>
      <c r="D62" s="15">
        <f t="shared" si="0"/>
        <v>-7.6073619631902402E-3</v>
      </c>
      <c r="E62" s="12">
        <f>'التقرير اليومى'!D119</f>
        <v>81.7</v>
      </c>
      <c r="F62" s="12">
        <f>'التقرير اليومى'!G119</f>
        <v>83.79</v>
      </c>
      <c r="G62" s="15">
        <f t="shared" si="1"/>
        <v>2.5581395348837251E-2</v>
      </c>
      <c r="H62" s="5"/>
      <c r="I62" s="6"/>
      <c r="J62" s="6"/>
      <c r="K62" s="6"/>
      <c r="L62" s="7"/>
      <c r="M62" s="8"/>
    </row>
    <row r="63" spans="1:13" ht="25.2" x14ac:dyDescent="0.25">
      <c r="A63" s="17">
        <f>'التقرير اليومى'!A120</f>
        <v>46114</v>
      </c>
      <c r="B63" s="12">
        <f>'التقرير اليومى'!D120</f>
        <v>40.44</v>
      </c>
      <c r="C63" s="12">
        <f>'التقرير اليومى'!G120</f>
        <v>40.6</v>
      </c>
      <c r="D63" s="15">
        <f t="shared" si="0"/>
        <v>3.9564787339268969E-3</v>
      </c>
      <c r="E63" s="12">
        <f>'التقرير اليومى'!D121</f>
        <v>83.79</v>
      </c>
      <c r="F63" s="12">
        <f>'التقرير اليومى'!G121</f>
        <v>82</v>
      </c>
      <c r="G63" s="15">
        <f t="shared" si="1"/>
        <v>-2.13629311373673E-2</v>
      </c>
      <c r="H63" s="5"/>
      <c r="I63" s="6"/>
      <c r="J63" s="6"/>
      <c r="K63" s="6"/>
      <c r="L63" s="7"/>
      <c r="M63" s="8"/>
    </row>
    <row r="64" spans="1:13" ht="25.2" x14ac:dyDescent="0.25">
      <c r="A64" s="17">
        <f>'التقرير اليومى'!A122</f>
        <v>46117</v>
      </c>
      <c r="B64" s="12">
        <f>'التقرير اليومى'!D122</f>
        <v>40.6</v>
      </c>
      <c r="C64" s="12">
        <f>'التقرير اليومى'!G122</f>
        <v>41.5</v>
      </c>
      <c r="D64" s="15">
        <f t="shared" si="0"/>
        <v>2.2167487684729027E-2</v>
      </c>
      <c r="E64" s="12">
        <f>'التقرير اليومى'!D123</f>
        <v>82</v>
      </c>
      <c r="F64" s="12">
        <f>'التقرير اليومى'!G123</f>
        <v>81.27</v>
      </c>
      <c r="G64" s="15">
        <f t="shared" si="1"/>
        <v>-8.9024390243902917E-3</v>
      </c>
      <c r="H64" s="5"/>
      <c r="I64" s="6"/>
      <c r="J64" s="6"/>
      <c r="K64" s="6"/>
      <c r="L64" s="7"/>
      <c r="M64" s="8"/>
    </row>
    <row r="65" spans="1:13" ht="25.2" x14ac:dyDescent="0.25">
      <c r="A65" s="17">
        <f>'التقرير اليومى'!A124</f>
        <v>46118</v>
      </c>
      <c r="B65" s="12">
        <f>'التقرير اليومى'!D124</f>
        <v>41.5</v>
      </c>
      <c r="C65" s="12">
        <f>'التقرير اليومى'!G124</f>
        <v>42.14</v>
      </c>
      <c r="D65" s="15">
        <f t="shared" si="0"/>
        <v>1.5421686746987965E-2</v>
      </c>
      <c r="E65" s="12">
        <f>'التقرير اليومى'!D125</f>
        <v>81.27</v>
      </c>
      <c r="F65" s="12">
        <f>'التقرير اليومى'!G125</f>
        <v>82.6</v>
      </c>
      <c r="G65" s="15">
        <f t="shared" si="1"/>
        <v>1.6365202411714019E-2</v>
      </c>
      <c r="H65" s="5"/>
      <c r="I65" s="6"/>
      <c r="J65" s="6"/>
      <c r="K65" s="6"/>
      <c r="L65" s="7"/>
      <c r="M65" s="8"/>
    </row>
    <row r="66" spans="1:13" ht="25.2" x14ac:dyDescent="0.25">
      <c r="A66" s="17">
        <f>'التقرير اليومى'!A126</f>
        <v>46119</v>
      </c>
      <c r="B66" s="12">
        <f>'التقرير اليومى'!D126</f>
        <v>42.14</v>
      </c>
      <c r="C66" s="12">
        <f>'التقرير اليومى'!G126</f>
        <v>44</v>
      </c>
      <c r="D66" s="15">
        <f t="shared" si="0"/>
        <v>4.4138585666824853E-2</v>
      </c>
      <c r="E66" s="12">
        <f>'التقرير اليومى'!D127</f>
        <v>82.6</v>
      </c>
      <c r="F66" s="12">
        <f>'التقرير اليومى'!G127</f>
        <v>85.61</v>
      </c>
      <c r="G66" s="15">
        <f t="shared" si="1"/>
        <v>3.6440677966101759E-2</v>
      </c>
      <c r="H66" s="5"/>
      <c r="I66" s="6"/>
      <c r="J66" s="6"/>
      <c r="K66" s="6"/>
      <c r="L66" s="7"/>
      <c r="M66" s="8"/>
    </row>
    <row r="67" spans="1:13" ht="25.2" x14ac:dyDescent="0.25">
      <c r="A67" s="17">
        <f>'التقرير اليومى'!A128</f>
        <v>46120</v>
      </c>
      <c r="B67" s="12">
        <f>'التقرير اليومى'!D128</f>
        <v>44</v>
      </c>
      <c r="C67" s="12">
        <f>'التقرير اليومى'!G128</f>
        <v>42.8</v>
      </c>
      <c r="D67" s="15">
        <f t="shared" si="0"/>
        <v>-2.7272727272727337E-2</v>
      </c>
      <c r="E67" s="12">
        <f>'التقرير اليومى'!D129</f>
        <v>85.61</v>
      </c>
      <c r="F67" s="12">
        <f>'التقرير اليومى'!G129</f>
        <v>82.64</v>
      </c>
      <c r="G67" s="15">
        <f t="shared" si="1"/>
        <v>-3.4692208854105816E-2</v>
      </c>
      <c r="H67" s="5"/>
      <c r="I67" s="6"/>
      <c r="J67" s="6"/>
      <c r="K67" s="6"/>
      <c r="L67" s="7"/>
      <c r="M67" s="8"/>
    </row>
    <row r="68" spans="1:13" ht="25.2" x14ac:dyDescent="0.25">
      <c r="A68" s="17">
        <f>'التقرير اليومى'!A130</f>
        <v>46121</v>
      </c>
      <c r="B68" s="12">
        <f>'التقرير اليومى'!D130</f>
        <v>42.8</v>
      </c>
      <c r="C68" s="12">
        <f>'التقرير اليومى'!G130</f>
        <v>43.5</v>
      </c>
      <c r="D68" s="15">
        <f t="shared" ref="D68:D131" si="2">(C68-B68)/B68</f>
        <v>1.6355140186915956E-2</v>
      </c>
      <c r="E68" s="12">
        <f>'التقرير اليومى'!D131</f>
        <v>82.64</v>
      </c>
      <c r="F68" s="12">
        <f>'التقرير اليومى'!G131</f>
        <v>82.11</v>
      </c>
      <c r="G68" s="15">
        <f t="shared" ref="G68:G131" si="3">(F68-E68)/E68</f>
        <v>-6.4133591481123084E-3</v>
      </c>
      <c r="H68" s="5"/>
      <c r="I68" s="6"/>
      <c r="J68" s="6"/>
      <c r="K68" s="6"/>
      <c r="L68" s="7"/>
      <c r="M68" s="8"/>
    </row>
    <row r="69" spans="1:13" ht="25.2" x14ac:dyDescent="0.25">
      <c r="A69" s="17">
        <f>'التقرير اليومى'!A132</f>
        <v>46126</v>
      </c>
      <c r="B69" s="12">
        <f>'التقرير اليومى'!D132</f>
        <v>43.5</v>
      </c>
      <c r="C69" s="12">
        <f>'التقرير اليومى'!G132</f>
        <v>44.8</v>
      </c>
      <c r="D69" s="15">
        <f t="shared" si="2"/>
        <v>2.9885057471264301E-2</v>
      </c>
      <c r="E69" s="12">
        <f>'التقرير اليومى'!D133</f>
        <v>82.11</v>
      </c>
      <c r="F69" s="12">
        <f>'التقرير اليومى'!G133</f>
        <v>83.8</v>
      </c>
      <c r="G69" s="15">
        <f t="shared" si="3"/>
        <v>2.0582145901838968E-2</v>
      </c>
      <c r="H69" s="5"/>
      <c r="I69" s="6"/>
      <c r="J69" s="6"/>
      <c r="K69" s="6"/>
      <c r="L69" s="7"/>
      <c r="M69" s="8"/>
    </row>
    <row r="70" spans="1:13" ht="25.2" x14ac:dyDescent="0.25">
      <c r="A70" s="17">
        <f>'التقرير اليومى'!A134</f>
        <v>46127</v>
      </c>
      <c r="B70" s="12">
        <f>'التقرير اليومى'!D134</f>
        <v>44.8</v>
      </c>
      <c r="C70" s="12">
        <f>'التقرير اليومى'!G134</f>
        <v>44.32</v>
      </c>
      <c r="D70" s="15">
        <f t="shared" si="2"/>
        <v>-1.0714285714285645E-2</v>
      </c>
      <c r="E70" s="12">
        <f>'التقرير اليومى'!D135</f>
        <v>83.8</v>
      </c>
      <c r="F70" s="12">
        <f>'التقرير اليومى'!G135</f>
        <v>84.85</v>
      </c>
      <c r="G70" s="15">
        <f t="shared" si="3"/>
        <v>1.2529832935560826E-2</v>
      </c>
      <c r="H70" s="5"/>
      <c r="I70" s="6"/>
      <c r="J70" s="6"/>
      <c r="K70" s="6"/>
      <c r="L70" s="7"/>
      <c r="M70" s="8"/>
    </row>
    <row r="71" spans="1:13" ht="25.2" x14ac:dyDescent="0.25">
      <c r="A71" s="17">
        <f>'التقرير اليومى'!A136</f>
        <v>46128</v>
      </c>
      <c r="B71" s="12">
        <f>'التقرير اليومى'!D136</f>
        <v>44.32</v>
      </c>
      <c r="C71" s="12">
        <f>'التقرير اليومى'!G136</f>
        <v>44</v>
      </c>
      <c r="D71" s="15">
        <f t="shared" si="2"/>
        <v>-7.2202166064982013E-3</v>
      </c>
      <c r="E71" s="12">
        <f>'التقرير اليومى'!D137</f>
        <v>84.85</v>
      </c>
      <c r="F71" s="12">
        <f>'التقرير اليومى'!G137</f>
        <v>83.94</v>
      </c>
      <c r="G71" s="15">
        <f t="shared" si="3"/>
        <v>-1.0724808485562719E-2</v>
      </c>
      <c r="H71" s="5"/>
      <c r="I71" s="6"/>
      <c r="J71" s="6"/>
      <c r="K71" s="6"/>
      <c r="L71" s="7"/>
      <c r="M71" s="8"/>
    </row>
    <row r="72" spans="1:13" ht="25.2" x14ac:dyDescent="0.25">
      <c r="A72" s="17">
        <f>'التقرير اليومى'!A138</f>
        <v>46131</v>
      </c>
      <c r="B72" s="12">
        <f>'التقرير اليومى'!D138</f>
        <v>44</v>
      </c>
      <c r="C72" s="12">
        <f>'التقرير اليومى'!G138</f>
        <v>43.95</v>
      </c>
      <c r="D72" s="15">
        <f t="shared" si="2"/>
        <v>-1.1363636363635717E-3</v>
      </c>
      <c r="E72" s="12">
        <f>'التقرير اليومى'!D139</f>
        <v>83.94</v>
      </c>
      <c r="F72" s="12">
        <f>'التقرير اليومى'!G139</f>
        <v>85.56</v>
      </c>
      <c r="G72" s="15">
        <f t="shared" si="3"/>
        <v>1.9299499642601914E-2</v>
      </c>
      <c r="H72" s="5"/>
      <c r="I72" s="6"/>
      <c r="J72" s="6"/>
      <c r="K72" s="6"/>
      <c r="L72" s="7"/>
      <c r="M72" s="8"/>
    </row>
    <row r="73" spans="1:13" ht="25.2" x14ac:dyDescent="0.25">
      <c r="A73" s="17">
        <f>'التقرير اليومى'!A140</f>
        <v>46132</v>
      </c>
      <c r="B73" s="12">
        <f>'التقرير اليومى'!D140</f>
        <v>43.95</v>
      </c>
      <c r="C73" s="12">
        <f>'التقرير اليومى'!G140</f>
        <v>43.8</v>
      </c>
      <c r="D73" s="15">
        <f t="shared" si="2"/>
        <v>-3.4129692832765798E-3</v>
      </c>
      <c r="E73" s="12">
        <f>'التقرير اليومى'!D141</f>
        <v>85.56</v>
      </c>
      <c r="F73" s="12">
        <f>'التقرير اليومى'!G141</f>
        <v>85</v>
      </c>
      <c r="G73" s="15">
        <f t="shared" si="3"/>
        <v>-6.5451145395044675E-3</v>
      </c>
      <c r="H73" s="5"/>
      <c r="I73" s="6"/>
      <c r="J73" s="6"/>
      <c r="K73" s="6"/>
      <c r="L73" s="7"/>
      <c r="M73" s="8"/>
    </row>
    <row r="74" spans="1:13" ht="25.2" x14ac:dyDescent="0.25">
      <c r="A74" s="17">
        <f>'التقرير اليومى'!A142</f>
        <v>46133</v>
      </c>
      <c r="B74" s="12">
        <f>'التقرير اليومى'!D142</f>
        <v>43.8</v>
      </c>
      <c r="C74" s="12">
        <f>'التقرير اليومى'!G142</f>
        <v>43.83</v>
      </c>
      <c r="D74" s="15">
        <f t="shared" si="2"/>
        <v>6.8493150684934109E-4</v>
      </c>
      <c r="E74" s="12">
        <f>'التقرير اليومى'!D143</f>
        <v>85</v>
      </c>
      <c r="F74" s="12">
        <f>'التقرير اليومى'!G143</f>
        <v>88.55</v>
      </c>
      <c r="G74" s="15">
        <f t="shared" si="3"/>
        <v>4.1764705882352905E-2</v>
      </c>
      <c r="H74" s="5"/>
      <c r="I74" s="6"/>
      <c r="J74" s="6"/>
      <c r="K74" s="6"/>
      <c r="L74" s="7"/>
      <c r="M74" s="8"/>
    </row>
    <row r="75" spans="1:13" ht="25.2" x14ac:dyDescent="0.25">
      <c r="A75" s="17">
        <f>'التقرير اليومى'!A144</f>
        <v>46134</v>
      </c>
      <c r="B75" s="12">
        <f>'التقرير اليومى'!D144</f>
        <v>43.83</v>
      </c>
      <c r="C75" s="12">
        <f>'التقرير اليومى'!G144</f>
        <v>46.5</v>
      </c>
      <c r="D75" s="15">
        <f t="shared" si="2"/>
        <v>6.0917180013689294E-2</v>
      </c>
      <c r="E75" s="12">
        <f>'التقرير اليومى'!D145</f>
        <v>88.55</v>
      </c>
      <c r="F75" s="12">
        <f>'التقرير اليومى'!G145</f>
        <v>87</v>
      </c>
      <c r="G75" s="15">
        <f t="shared" si="3"/>
        <v>-1.7504234895539213E-2</v>
      </c>
      <c r="H75" s="5"/>
      <c r="I75" s="6"/>
      <c r="J75" s="6"/>
      <c r="K75" s="6"/>
      <c r="L75" s="7"/>
      <c r="M75" s="8"/>
    </row>
    <row r="76" spans="1:13" ht="25.2" x14ac:dyDescent="0.25">
      <c r="A76" s="17">
        <f>'التقرير اليومى'!A146</f>
        <v>46135</v>
      </c>
      <c r="B76" s="12">
        <f>'التقرير اليومى'!D146</f>
        <v>46.5</v>
      </c>
      <c r="C76" s="12">
        <f>'التقرير اليومى'!G146</f>
        <v>46.5</v>
      </c>
      <c r="D76" s="15">
        <f t="shared" si="2"/>
        <v>0</v>
      </c>
      <c r="E76" s="12">
        <f>'التقرير اليومى'!D147</f>
        <v>87</v>
      </c>
      <c r="F76" s="12">
        <f>'التقرير اليومى'!G147</f>
        <v>86.12</v>
      </c>
      <c r="G76" s="15">
        <f t="shared" si="3"/>
        <v>-1.011494252873558E-2</v>
      </c>
      <c r="H76" s="5"/>
      <c r="I76" s="6"/>
      <c r="J76" s="6"/>
      <c r="K76" s="6"/>
      <c r="L76" s="7"/>
      <c r="M76" s="8"/>
    </row>
    <row r="77" spans="1:13" ht="25.2" x14ac:dyDescent="0.25">
      <c r="A77" s="17">
        <f>'التقرير اليومى'!A148</f>
        <v>46138</v>
      </c>
      <c r="B77" s="12">
        <f>'التقرير اليومى'!D148</f>
        <v>46.5</v>
      </c>
      <c r="C77" s="12">
        <f>'التقرير اليومى'!G148</f>
        <v>47.1</v>
      </c>
      <c r="D77" s="15">
        <f t="shared" si="2"/>
        <v>1.2903225806451644E-2</v>
      </c>
      <c r="E77" s="12">
        <f>'التقرير اليومى'!D149</f>
        <v>86.12</v>
      </c>
      <c r="F77" s="12">
        <f>'التقرير اليومى'!G149</f>
        <v>88.82</v>
      </c>
      <c r="G77" s="15">
        <f t="shared" si="3"/>
        <v>3.1351602415234422E-2</v>
      </c>
      <c r="H77" s="5"/>
      <c r="I77" s="6"/>
      <c r="J77" s="6"/>
      <c r="K77" s="6"/>
      <c r="L77" s="7"/>
      <c r="M77" s="8"/>
    </row>
    <row r="78" spans="1:13" ht="25.2" x14ac:dyDescent="0.25">
      <c r="A78" s="17">
        <f>'التقرير اليومى'!A150</f>
        <v>46139</v>
      </c>
      <c r="B78" s="12">
        <f>'التقرير اليومى'!D150</f>
        <v>47.1</v>
      </c>
      <c r="C78" s="12">
        <f>'التقرير اليومى'!G150</f>
        <v>47.5</v>
      </c>
      <c r="D78" s="15">
        <f t="shared" si="2"/>
        <v>8.4925690021231126E-3</v>
      </c>
      <c r="E78" s="12">
        <f>'التقرير اليومى'!D151</f>
        <v>88.82</v>
      </c>
      <c r="F78" s="12">
        <f>'التقرير اليومى'!G151</f>
        <v>89.5</v>
      </c>
      <c r="G78" s="15">
        <f t="shared" si="3"/>
        <v>7.6559333483450448E-3</v>
      </c>
      <c r="H78" s="5"/>
      <c r="I78" s="6"/>
      <c r="J78" s="6"/>
      <c r="K78" s="6"/>
      <c r="L78" s="7"/>
      <c r="M78" s="8"/>
    </row>
    <row r="79" spans="1:13" ht="25.2" x14ac:dyDescent="0.25">
      <c r="A79" s="17">
        <f>'التقرير اليومى'!A152</f>
        <v>46140</v>
      </c>
      <c r="B79" s="12">
        <f>'التقرير اليومى'!D152</f>
        <v>47.5</v>
      </c>
      <c r="C79" s="12">
        <f>'التقرير اليومى'!G152</f>
        <v>47.52</v>
      </c>
      <c r="D79" s="15">
        <f t="shared" si="2"/>
        <v>4.210526315790132E-4</v>
      </c>
      <c r="E79" s="12">
        <f>'التقرير اليومى'!D153</f>
        <v>89.5</v>
      </c>
      <c r="F79" s="12">
        <f>'التقرير اليومى'!G153</f>
        <v>90.51</v>
      </c>
      <c r="G79" s="15">
        <f t="shared" si="3"/>
        <v>1.1284916201117375E-2</v>
      </c>
      <c r="H79" s="5"/>
      <c r="I79" s="6"/>
      <c r="J79" s="6"/>
      <c r="K79" s="6"/>
      <c r="L79" s="7"/>
      <c r="M79" s="8"/>
    </row>
    <row r="80" spans="1:13" ht="25.2" x14ac:dyDescent="0.25">
      <c r="A80" s="17">
        <f>'التقرير اليومى'!A154</f>
        <v>46141</v>
      </c>
      <c r="B80" s="12">
        <f>'التقرير اليومى'!D154</f>
        <v>47.52</v>
      </c>
      <c r="C80" s="12">
        <f>'التقرير اليومى'!G154</f>
        <v>47.8</v>
      </c>
      <c r="D80" s="15">
        <f t="shared" si="2"/>
        <v>5.8922558922557666E-3</v>
      </c>
      <c r="E80" s="12">
        <f>'التقرير اليومى'!D155</f>
        <v>90.51</v>
      </c>
      <c r="F80" s="12">
        <f>'التقرير اليومى'!G155</f>
        <v>89.56</v>
      </c>
      <c r="G80" s="15">
        <f t="shared" si="3"/>
        <v>-1.0496077781460642E-2</v>
      </c>
      <c r="H80" s="5"/>
      <c r="I80" s="6"/>
      <c r="J80" s="6"/>
      <c r="K80" s="6"/>
      <c r="L80" s="7"/>
      <c r="M80" s="8"/>
    </row>
    <row r="81" spans="1:13" ht="25.2" x14ac:dyDescent="0.25">
      <c r="A81" s="17">
        <f>'التقرير اليومى'!A156</f>
        <v>46142</v>
      </c>
      <c r="B81" s="12">
        <f>'التقرير اليومى'!D156</f>
        <v>47.8</v>
      </c>
      <c r="C81" s="12">
        <f>'التقرير اليومى'!G156</f>
        <v>50.49</v>
      </c>
      <c r="D81" s="15">
        <f t="shared" si="2"/>
        <v>5.6276150627615165E-2</v>
      </c>
      <c r="E81" s="12">
        <f>'التقرير اليومى'!D157</f>
        <v>89.56</v>
      </c>
      <c r="F81" s="12">
        <f>'التقرير اليومى'!G157</f>
        <v>90.75</v>
      </c>
      <c r="G81" s="15">
        <f t="shared" si="3"/>
        <v>1.3287181777579251E-2</v>
      </c>
      <c r="H81" s="5"/>
      <c r="I81" s="6"/>
      <c r="J81" s="6"/>
      <c r="K81" s="6"/>
      <c r="L81" s="7"/>
      <c r="M81" s="8"/>
    </row>
    <row r="82" spans="1:13" ht="25.2" x14ac:dyDescent="0.25">
      <c r="A82" s="17">
        <f>'التقرير اليومى'!A158</f>
        <v>46145</v>
      </c>
      <c r="B82" s="12">
        <f>'التقرير اليومى'!D158</f>
        <v>50.49</v>
      </c>
      <c r="C82" s="12">
        <f>'التقرير اليومى'!G158</f>
        <v>50.5</v>
      </c>
      <c r="D82" s="15">
        <f t="shared" si="2"/>
        <v>1.9805902158839394E-4</v>
      </c>
      <c r="E82" s="12">
        <f>'التقرير اليومى'!D159</f>
        <v>90.75</v>
      </c>
      <c r="F82" s="12">
        <f>'التقرير اليومى'!G159</f>
        <v>89.49</v>
      </c>
      <c r="G82" s="15">
        <f t="shared" si="3"/>
        <v>-1.3884297520661214E-2</v>
      </c>
      <c r="H82" s="5"/>
      <c r="I82" s="6"/>
      <c r="J82" s="6"/>
      <c r="K82" s="6"/>
      <c r="L82" s="7"/>
      <c r="M82" s="8"/>
    </row>
    <row r="83" spans="1:13" ht="25.2" x14ac:dyDescent="0.25">
      <c r="A83" s="17">
        <f>'التقرير اليومى'!A160</f>
        <v>46146</v>
      </c>
      <c r="B83" s="12">
        <f>'التقرير اليومى'!D160</f>
        <v>50.5</v>
      </c>
      <c r="C83" s="12">
        <f>'التقرير اليومى'!G160</f>
        <v>45.4</v>
      </c>
      <c r="D83" s="15">
        <f t="shared" si="2"/>
        <v>-0.10099009900990102</v>
      </c>
      <c r="E83" s="12">
        <f>'التقرير اليومى'!D161</f>
        <v>89.49</v>
      </c>
      <c r="F83" s="12">
        <f>'التقرير اليومى'!G161</f>
        <v>87.01</v>
      </c>
      <c r="G83" s="15">
        <f t="shared" si="3"/>
        <v>-2.7712593585875404E-2</v>
      </c>
      <c r="H83" s="5"/>
      <c r="I83" s="6"/>
      <c r="J83" s="6"/>
      <c r="K83" s="6"/>
      <c r="L83" s="7"/>
      <c r="M83" s="8"/>
    </row>
    <row r="84" spans="1:13" ht="25.2" x14ac:dyDescent="0.25">
      <c r="A84" s="17">
        <f>'التقرير اليومى'!A162</f>
        <v>46147</v>
      </c>
      <c r="B84" s="12">
        <f>'التقرير اليومى'!D162</f>
        <v>45.4</v>
      </c>
      <c r="C84" s="12">
        <f>'التقرير اليومى'!G162</f>
        <v>44.25</v>
      </c>
      <c r="D84" s="15">
        <f t="shared" si="2"/>
        <v>-2.5330396475770893E-2</v>
      </c>
      <c r="E84" s="12">
        <f>'التقرير اليومى'!D163</f>
        <v>87.01</v>
      </c>
      <c r="F84" s="12">
        <f>'التقرير اليومى'!G163</f>
        <v>84.85</v>
      </c>
      <c r="G84" s="15">
        <f t="shared" si="3"/>
        <v>-2.4824732789334683E-2</v>
      </c>
      <c r="H84" s="5"/>
      <c r="I84" s="6"/>
      <c r="J84" s="6"/>
      <c r="K84" s="6"/>
      <c r="L84" s="7"/>
      <c r="M84" s="8"/>
    </row>
    <row r="85" spans="1:13" ht="25.2" x14ac:dyDescent="0.25">
      <c r="A85" s="17">
        <f>'التقرير اليومى'!A164</f>
        <v>46148</v>
      </c>
      <c r="B85" s="12">
        <f>'التقرير اليومى'!D164</f>
        <v>44.25</v>
      </c>
      <c r="C85" s="12">
        <f>'التقرير اليومى'!G164</f>
        <v>43.5</v>
      </c>
      <c r="D85" s="15">
        <f t="shared" si="2"/>
        <v>-1.6949152542372881E-2</v>
      </c>
      <c r="E85" s="12">
        <f>'التقرير اليومى'!D165</f>
        <v>84.85</v>
      </c>
      <c r="F85" s="12">
        <f>'التقرير اليومى'!G165</f>
        <v>83.41</v>
      </c>
      <c r="G85" s="15">
        <f t="shared" si="3"/>
        <v>-1.6971125515615765E-2</v>
      </c>
      <c r="H85" s="5"/>
      <c r="I85" s="6"/>
      <c r="J85" s="6"/>
      <c r="K85" s="6"/>
      <c r="L85" s="7"/>
      <c r="M85" s="8"/>
    </row>
    <row r="86" spans="1:13" ht="25.2" x14ac:dyDescent="0.25">
      <c r="A86" s="17">
        <f>'التقرير اليومى'!A166</f>
        <v>46152</v>
      </c>
      <c r="B86" s="12">
        <f>'التقرير اليومى'!D166</f>
        <v>43.5</v>
      </c>
      <c r="C86" s="12">
        <f>'التقرير اليومى'!G166</f>
        <v>43.77</v>
      </c>
      <c r="D86" s="15">
        <f t="shared" si="2"/>
        <v>6.2068965517242097E-3</v>
      </c>
      <c r="E86" s="12">
        <f>'التقرير اليومى'!D167</f>
        <v>83.41</v>
      </c>
      <c r="F86" s="12">
        <f>'التقرير اليومى'!G167</f>
        <v>83.8</v>
      </c>
      <c r="G86" s="15">
        <f t="shared" si="3"/>
        <v>4.6756983575110969E-3</v>
      </c>
      <c r="H86" s="5"/>
      <c r="I86" s="6"/>
      <c r="J86" s="6"/>
      <c r="K86" s="6"/>
      <c r="L86" s="7"/>
      <c r="M86" s="8"/>
    </row>
    <row r="87" spans="1:13" ht="25.2" x14ac:dyDescent="0.25">
      <c r="A87" s="17">
        <f>'التقرير اليومى'!A168</f>
        <v>46153</v>
      </c>
      <c r="B87" s="12">
        <f>'التقرير اليومى'!D168</f>
        <v>43.77</v>
      </c>
      <c r="C87" s="12">
        <f>'التقرير اليومى'!G168</f>
        <v>45.15</v>
      </c>
      <c r="D87" s="15">
        <f t="shared" si="2"/>
        <v>3.1528444139821692E-2</v>
      </c>
      <c r="E87" s="12">
        <f>'التقرير اليومى'!D169</f>
        <v>83.8</v>
      </c>
      <c r="F87" s="12">
        <f>'التقرير اليومى'!G169</f>
        <v>86</v>
      </c>
      <c r="G87" s="15">
        <f t="shared" si="3"/>
        <v>2.6252983293556121E-2</v>
      </c>
      <c r="H87" s="5"/>
      <c r="I87" s="6"/>
      <c r="J87" s="6"/>
      <c r="K87" s="6"/>
      <c r="L87" s="7"/>
      <c r="M87" s="8"/>
    </row>
    <row r="88" spans="1:13" ht="25.2" x14ac:dyDescent="0.25">
      <c r="A88" s="17">
        <f>'التقرير اليومى'!A170</f>
        <v>46154</v>
      </c>
      <c r="B88" s="12">
        <f>'التقرير اليومى'!D170</f>
        <v>45.15</v>
      </c>
      <c r="C88" s="12">
        <f>'التقرير اليومى'!G170</f>
        <v>45.7</v>
      </c>
      <c r="D88" s="15">
        <f t="shared" si="2"/>
        <v>1.2181616832779718E-2</v>
      </c>
      <c r="E88" s="12">
        <f>'التقرير اليومى'!D171</f>
        <v>86</v>
      </c>
      <c r="F88" s="12">
        <f>'التقرير اليومى'!G171</f>
        <v>87.19</v>
      </c>
      <c r="G88" s="15">
        <f t="shared" si="3"/>
        <v>1.3837209302325555E-2</v>
      </c>
      <c r="H88" s="5"/>
      <c r="I88" s="6"/>
      <c r="J88" s="6"/>
      <c r="K88" s="6"/>
      <c r="L88" s="7"/>
      <c r="M88" s="8"/>
    </row>
    <row r="89" spans="1:13" ht="25.2" x14ac:dyDescent="0.25">
      <c r="A89" s="17">
        <f>'التقرير اليومى'!A172</f>
        <v>46155</v>
      </c>
      <c r="B89" s="12">
        <f>'التقرير اليومى'!D172</f>
        <v>45.7</v>
      </c>
      <c r="C89" s="12">
        <f>'التقرير اليومى'!G172</f>
        <v>44.74</v>
      </c>
      <c r="D89" s="15">
        <f t="shared" si="2"/>
        <v>-2.1006564551422337E-2</v>
      </c>
      <c r="E89" s="12">
        <f>'التقرير اليومى'!D173</f>
        <v>87.19</v>
      </c>
      <c r="F89" s="12">
        <f>'التقرير اليومى'!G173</f>
        <v>85.6</v>
      </c>
      <c r="G89" s="15">
        <f t="shared" si="3"/>
        <v>-1.8236036242688422E-2</v>
      </c>
      <c r="H89" s="5"/>
      <c r="I89" s="6"/>
      <c r="J89" s="6"/>
      <c r="K89" s="6"/>
      <c r="L89" s="7"/>
      <c r="M89" s="8"/>
    </row>
    <row r="90" spans="1:13" ht="25.2" x14ac:dyDescent="0.25">
      <c r="A90" s="17">
        <f>'التقرير اليومى'!A174</f>
        <v>46156</v>
      </c>
      <c r="B90" s="12">
        <f>'التقرير اليومى'!D174</f>
        <v>44.74</v>
      </c>
      <c r="C90" s="12">
        <f>'التقرير اليومى'!G174</f>
        <v>44.46</v>
      </c>
      <c r="D90" s="15">
        <f t="shared" si="2"/>
        <v>-6.258381761287464E-3</v>
      </c>
      <c r="E90" s="12">
        <f>'التقرير اليومى'!D175</f>
        <v>85.6</v>
      </c>
      <c r="F90" s="12">
        <f>'التقرير اليومى'!G175</f>
        <v>85.8</v>
      </c>
      <c r="G90" s="15">
        <f t="shared" si="3"/>
        <v>2.3364485981308743E-3</v>
      </c>
      <c r="H90" s="5"/>
      <c r="I90" s="6"/>
      <c r="J90" s="6"/>
      <c r="K90" s="6"/>
      <c r="L90" s="7"/>
      <c r="M90" s="8"/>
    </row>
    <row r="91" spans="1:13" ht="25.2" x14ac:dyDescent="0.25">
      <c r="A91" s="17">
        <f>'التقرير اليومى'!A176</f>
        <v>46159</v>
      </c>
      <c r="B91" s="12">
        <f>'التقرير اليومى'!D176</f>
        <v>44.46</v>
      </c>
      <c r="C91" s="12">
        <f>'التقرير اليومى'!G176</f>
        <v>46</v>
      </c>
      <c r="D91" s="15">
        <f t="shared" si="2"/>
        <v>3.4637876743139881E-2</v>
      </c>
      <c r="E91" s="12">
        <f>'التقرير اليومى'!D177</f>
        <v>85.8</v>
      </c>
      <c r="F91" s="12">
        <f>'التقرير اليومى'!G177</f>
        <v>88.2</v>
      </c>
      <c r="G91" s="15">
        <f t="shared" si="3"/>
        <v>2.7972027972028038E-2</v>
      </c>
      <c r="H91" s="5"/>
      <c r="I91" s="6"/>
      <c r="J91" s="6"/>
      <c r="K91" s="6"/>
      <c r="L91" s="7"/>
      <c r="M91" s="8"/>
    </row>
    <row r="92" spans="1:13" ht="25.2" x14ac:dyDescent="0.25">
      <c r="A92" s="17">
        <f>'التقرير اليومى'!A178</f>
        <v>46160</v>
      </c>
      <c r="B92" s="12">
        <f>'التقرير اليومى'!D178</f>
        <v>46</v>
      </c>
      <c r="C92" s="12">
        <f>'التقرير اليومى'!G178</f>
        <v>45.26</v>
      </c>
      <c r="D92" s="15">
        <f t="shared" si="2"/>
        <v>-1.6086956521739172E-2</v>
      </c>
      <c r="E92" s="12">
        <f>'التقرير اليومى'!D179</f>
        <v>88.2</v>
      </c>
      <c r="F92" s="12">
        <f>'التقرير اليومى'!G179</f>
        <v>90</v>
      </c>
      <c r="G92" s="15">
        <f t="shared" si="3"/>
        <v>2.040816326530609E-2</v>
      </c>
      <c r="H92" s="5"/>
      <c r="I92" s="6"/>
      <c r="J92" s="6"/>
      <c r="K92" s="6"/>
      <c r="L92" s="7"/>
      <c r="M92" s="8"/>
    </row>
    <row r="93" spans="1:13" ht="25.2" x14ac:dyDescent="0.25">
      <c r="A93" s="17">
        <f>'التقرير اليومى'!A180</f>
        <v>46161</v>
      </c>
      <c r="B93" s="12">
        <f>'التقرير اليومى'!D180</f>
        <v>45.26</v>
      </c>
      <c r="C93" s="12">
        <f>'التقرير اليومى'!G180</f>
        <v>44.51</v>
      </c>
      <c r="D93" s="15">
        <f t="shared" si="2"/>
        <v>-1.6570923552806011E-2</v>
      </c>
      <c r="E93" s="12">
        <f>'التقرير اليومى'!D181</f>
        <v>90</v>
      </c>
      <c r="F93" s="12">
        <f>'التقرير اليومى'!G181</f>
        <v>88.99</v>
      </c>
      <c r="G93" s="15">
        <f t="shared" si="3"/>
        <v>-1.1222222222222279E-2</v>
      </c>
      <c r="H93" s="5"/>
      <c r="I93" s="6"/>
      <c r="J93" s="6"/>
      <c r="K93" s="6"/>
      <c r="L93" s="7"/>
      <c r="M93" s="8"/>
    </row>
    <row r="94" spans="1:13" ht="25.2" x14ac:dyDescent="0.25">
      <c r="A94" s="17">
        <f>'التقرير اليومى'!A182</f>
        <v>46162</v>
      </c>
      <c r="B94" s="12">
        <f>'التقرير اليومى'!D182</f>
        <v>44.51</v>
      </c>
      <c r="C94" s="12">
        <f>'التقرير اليومى'!G182</f>
        <v>43.5</v>
      </c>
      <c r="D94" s="15">
        <f t="shared" si="2"/>
        <v>-2.2691529993259896E-2</v>
      </c>
      <c r="E94" s="12">
        <f>'التقرير اليومى'!D183</f>
        <v>88.99</v>
      </c>
      <c r="F94" s="12">
        <f>'التقرير اليومى'!G183</f>
        <v>86.01</v>
      </c>
      <c r="G94" s="15">
        <f t="shared" si="3"/>
        <v>-3.3486908641420274E-2</v>
      </c>
      <c r="H94" s="5"/>
      <c r="I94" s="6"/>
      <c r="J94" s="6"/>
      <c r="K94" s="6"/>
      <c r="L94" s="7"/>
      <c r="M94" s="8"/>
    </row>
    <row r="95" spans="1:13" ht="25.2" x14ac:dyDescent="0.25">
      <c r="A95" s="17">
        <f>'التقرير اليومى'!A184</f>
        <v>46163</v>
      </c>
      <c r="B95" s="12">
        <f>'التقرير اليومى'!D184</f>
        <v>43.5</v>
      </c>
      <c r="C95" s="12">
        <f>'التقرير اليومى'!G184</f>
        <v>43.22</v>
      </c>
      <c r="D95" s="15">
        <f t="shared" si="2"/>
        <v>-6.4367816091954284E-3</v>
      </c>
      <c r="E95" s="12">
        <f>'التقرير اليومى'!D185</f>
        <v>86.01</v>
      </c>
      <c r="F95" s="12">
        <f>'التقرير اليومى'!G185</f>
        <v>86.01</v>
      </c>
      <c r="G95" s="15">
        <f t="shared" si="3"/>
        <v>0</v>
      </c>
      <c r="H95" s="5"/>
      <c r="I95" s="6"/>
      <c r="J95" s="6"/>
      <c r="K95" s="6"/>
      <c r="L95" s="7"/>
      <c r="M95" s="8"/>
    </row>
    <row r="96" spans="1:13" ht="25.2" x14ac:dyDescent="0.25">
      <c r="A96" s="17">
        <f>'التقرير اليومى'!A186</f>
        <v>46166</v>
      </c>
      <c r="B96" s="12">
        <f>'التقرير اليومى'!D186</f>
        <v>43.22</v>
      </c>
      <c r="C96" s="12">
        <f>'التقرير اليومى'!G186</f>
        <v>44.44</v>
      </c>
      <c r="D96" s="15">
        <f t="shared" si="2"/>
        <v>2.8227672373900947E-2</v>
      </c>
      <c r="E96" s="12">
        <f>'التقرير اليومى'!D187</f>
        <v>86.01</v>
      </c>
      <c r="F96" s="12">
        <f>'التقرير اليومى'!G187</f>
        <v>84.2</v>
      </c>
      <c r="G96" s="15">
        <f t="shared" si="3"/>
        <v>-2.1044064643646113E-2</v>
      </c>
      <c r="H96" s="5"/>
      <c r="I96" s="6"/>
      <c r="J96" s="6"/>
      <c r="K96" s="6"/>
      <c r="L96" s="7"/>
      <c r="M96" s="8"/>
    </row>
    <row r="97" spans="1:13" ht="25.2" x14ac:dyDescent="0.25">
      <c r="A97" s="17">
        <f>'التقرير اليومى'!A188</f>
        <v>46167</v>
      </c>
      <c r="B97" s="12">
        <f>'التقرير اليومى'!D188</f>
        <v>44.44</v>
      </c>
      <c r="C97" s="12">
        <f>'التقرير اليومى'!G188</f>
        <v>44</v>
      </c>
      <c r="D97" s="15">
        <f t="shared" si="2"/>
        <v>-9.9009900990098508E-3</v>
      </c>
      <c r="E97" s="12">
        <f>'التقرير اليومى'!D189</f>
        <v>84.2</v>
      </c>
      <c r="F97" s="12">
        <f>'التقرير اليومى'!G189</f>
        <v>86</v>
      </c>
      <c r="G97" s="15">
        <f t="shared" si="3"/>
        <v>2.1377672209026095E-2</v>
      </c>
      <c r="H97" s="5"/>
      <c r="I97" s="6"/>
      <c r="J97" s="6"/>
      <c r="K97" s="6"/>
      <c r="L97" s="7"/>
      <c r="M97" s="8"/>
    </row>
    <row r="98" spans="1:13" ht="25.2" x14ac:dyDescent="0.25">
      <c r="A98" s="17">
        <f>'التقرير اليومى'!A190</f>
        <v>46174</v>
      </c>
      <c r="B98" s="12">
        <f>'التقرير اليومى'!D190</f>
        <v>44</v>
      </c>
      <c r="C98" s="12">
        <f>'التقرير اليومى'!G190</f>
        <v>43.52</v>
      </c>
      <c r="D98" s="15">
        <f t="shared" si="2"/>
        <v>-1.0909090909090839E-2</v>
      </c>
      <c r="E98" s="12">
        <f>'التقرير اليومى'!D191</f>
        <v>86</v>
      </c>
      <c r="F98" s="12">
        <f>'التقرير اليومى'!G191</f>
        <v>83.6</v>
      </c>
      <c r="G98" s="15">
        <f t="shared" si="3"/>
        <v>-2.7906976744186112E-2</v>
      </c>
      <c r="H98" s="5"/>
      <c r="I98" s="6"/>
      <c r="J98" s="6"/>
      <c r="K98" s="6"/>
      <c r="L98" s="7"/>
      <c r="M98" s="8"/>
    </row>
    <row r="99" spans="1:13" ht="25.2" x14ac:dyDescent="0.25">
      <c r="A99" s="17">
        <f>'التقرير اليومى'!A192</f>
        <v>46175</v>
      </c>
      <c r="B99" s="12">
        <f>'التقرير اليومى'!D192</f>
        <v>43.52</v>
      </c>
      <c r="C99" s="12">
        <f>'التقرير اليومى'!G192</f>
        <v>42.8</v>
      </c>
      <c r="D99" s="15">
        <f t="shared" si="2"/>
        <v>-1.6544117647058959E-2</v>
      </c>
      <c r="E99" s="12">
        <f>'التقرير اليومى'!D193</f>
        <v>83.6</v>
      </c>
      <c r="F99" s="12">
        <f>'التقرير اليومى'!G193</f>
        <v>81.81</v>
      </c>
      <c r="G99" s="15">
        <f t="shared" si="3"/>
        <v>-2.1411483253588423E-2</v>
      </c>
      <c r="H99" s="5"/>
      <c r="I99" s="6"/>
      <c r="J99" s="6"/>
      <c r="K99" s="6"/>
      <c r="L99" s="7"/>
      <c r="M99" s="8"/>
    </row>
    <row r="100" spans="1:13" ht="25.2" x14ac:dyDescent="0.25">
      <c r="A100" s="17">
        <f>'التقرير اليومى'!A194</f>
        <v>46176</v>
      </c>
      <c r="B100" s="12">
        <f>'التقرير اليومى'!D194</f>
        <v>42.8</v>
      </c>
      <c r="C100" s="12">
        <f>'التقرير اليومى'!G194</f>
        <v>42.89</v>
      </c>
      <c r="D100" s="15">
        <f t="shared" si="2"/>
        <v>2.1028037383178369E-3</v>
      </c>
      <c r="E100" s="12">
        <f>'التقرير اليومى'!D195</f>
        <v>81.81</v>
      </c>
      <c r="F100" s="12">
        <f>'التقرير اليومى'!G195</f>
        <v>81.7</v>
      </c>
      <c r="G100" s="15">
        <f t="shared" si="3"/>
        <v>-1.3445789023346709E-3</v>
      </c>
      <c r="H100" s="5"/>
      <c r="I100" s="6"/>
      <c r="J100" s="6"/>
      <c r="K100" s="6"/>
      <c r="L100" s="7"/>
      <c r="M100" s="8"/>
    </row>
    <row r="101" spans="1:13" ht="25.2" x14ac:dyDescent="0.25">
      <c r="A101" s="17">
        <f>'التقرير اليومى'!A196</f>
        <v>46177</v>
      </c>
      <c r="B101" s="12">
        <f>'التقرير اليومى'!D196</f>
        <v>42.89</v>
      </c>
      <c r="C101" s="12">
        <f>'التقرير اليومى'!G196</f>
        <v>42.99</v>
      </c>
      <c r="D101" s="15">
        <f t="shared" si="2"/>
        <v>2.3315458148752953E-3</v>
      </c>
      <c r="E101" s="12">
        <f>'التقرير اليومى'!D197</f>
        <v>81.7</v>
      </c>
      <c r="F101" s="12">
        <f>'التقرير اليومى'!G197</f>
        <v>81.87</v>
      </c>
      <c r="G101" s="15">
        <f t="shared" si="3"/>
        <v>2.0807833537331909E-3</v>
      </c>
      <c r="H101" s="5"/>
      <c r="I101" s="6"/>
      <c r="J101" s="6"/>
      <c r="K101" s="6"/>
      <c r="L101" s="7"/>
      <c r="M101" s="8"/>
    </row>
    <row r="102" spans="1:13" ht="25.2" x14ac:dyDescent="0.25">
      <c r="A102" s="17">
        <f>'التقرير اليومى'!A198</f>
        <v>46180</v>
      </c>
      <c r="B102" s="12">
        <f>'التقرير اليومى'!D198</f>
        <v>42.99</v>
      </c>
      <c r="C102" s="12">
        <f>'التقرير اليومى'!G198</f>
        <v>42.39</v>
      </c>
      <c r="D102" s="15">
        <f t="shared" si="2"/>
        <v>-1.3956734124214967E-2</v>
      </c>
      <c r="E102" s="12">
        <f>'التقرير اليومى'!D199</f>
        <v>81.87</v>
      </c>
      <c r="F102" s="12">
        <f>'التقرير اليومى'!G199</f>
        <v>81.41</v>
      </c>
      <c r="G102" s="15">
        <f t="shared" si="3"/>
        <v>-5.6186637351900324E-3</v>
      </c>
      <c r="H102" s="5"/>
      <c r="I102" s="6"/>
      <c r="J102" s="6"/>
      <c r="K102" s="6"/>
      <c r="L102" s="7"/>
      <c r="M102" s="8"/>
    </row>
    <row r="103" spans="1:13" ht="25.2" x14ac:dyDescent="0.25">
      <c r="A103" s="17">
        <f>'التقرير اليومى'!A200</f>
        <v>46181</v>
      </c>
      <c r="B103" s="12">
        <f>'التقرير اليومى'!D200</f>
        <v>42.39</v>
      </c>
      <c r="C103" s="12">
        <f>'التقرير اليومى'!G200</f>
        <v>42.56</v>
      </c>
      <c r="D103" s="15">
        <f t="shared" si="2"/>
        <v>4.0103798065581906E-3</v>
      </c>
      <c r="E103" s="12">
        <f>'التقرير اليومى'!D201</f>
        <v>81.41</v>
      </c>
      <c r="F103" s="12">
        <f>'التقرير اليومى'!G201</f>
        <v>81.900000000000006</v>
      </c>
      <c r="G103" s="15">
        <f t="shared" si="3"/>
        <v>6.0189165950130094E-3</v>
      </c>
      <c r="H103" s="5"/>
      <c r="I103" s="6"/>
      <c r="J103" s="6"/>
      <c r="K103" s="6"/>
      <c r="L103" s="7"/>
      <c r="M103" s="8"/>
    </row>
    <row r="104" spans="1:13" ht="25.2" x14ac:dyDescent="0.25">
      <c r="A104" s="17">
        <f>'التقرير اليومى'!A202</f>
        <v>46182</v>
      </c>
      <c r="B104" s="12">
        <f>'التقرير اليومى'!D202</f>
        <v>42.56</v>
      </c>
      <c r="C104" s="12">
        <f>'التقرير اليومى'!G202</f>
        <v>42.15</v>
      </c>
      <c r="D104" s="15">
        <f t="shared" si="2"/>
        <v>-9.6334586466166276E-3</v>
      </c>
      <c r="E104" s="12">
        <f>'التقرير اليومى'!D203</f>
        <v>81.900000000000006</v>
      </c>
      <c r="F104" s="12">
        <f>'التقرير اليومى'!G203</f>
        <v>81.2</v>
      </c>
      <c r="G104" s="15">
        <f t="shared" si="3"/>
        <v>-8.5470085470085808E-3</v>
      </c>
      <c r="H104" s="5"/>
      <c r="I104" s="6"/>
      <c r="J104" s="6"/>
      <c r="K104" s="6"/>
      <c r="L104" s="7"/>
      <c r="M104" s="8"/>
    </row>
    <row r="105" spans="1:13" ht="25.2" x14ac:dyDescent="0.25">
      <c r="A105" s="17">
        <f>'التقرير اليومى'!A204</f>
        <v>46183</v>
      </c>
      <c r="B105" s="12">
        <f>'التقرير اليومى'!D204</f>
        <v>42.15</v>
      </c>
      <c r="C105" s="12">
        <f>'التقرير اليومى'!G204</f>
        <v>41.2</v>
      </c>
      <c r="D105" s="15">
        <f t="shared" si="2"/>
        <v>-2.2538552787663008E-2</v>
      </c>
      <c r="E105" s="12">
        <f>'التقرير اليومى'!D205</f>
        <v>81.2</v>
      </c>
      <c r="F105" s="12">
        <f>'التقرير اليومى'!G205</f>
        <v>79</v>
      </c>
      <c r="G105" s="15">
        <f t="shared" si="3"/>
        <v>-2.7093596059113333E-2</v>
      </c>
      <c r="H105" s="5"/>
      <c r="I105" s="6"/>
      <c r="J105" s="6"/>
      <c r="K105" s="6"/>
      <c r="L105" s="7"/>
      <c r="M105" s="8"/>
    </row>
    <row r="106" spans="1:13" ht="25.2" x14ac:dyDescent="0.25">
      <c r="A106" s="17">
        <f>'التقرير اليومى'!A206</f>
        <v>46184</v>
      </c>
      <c r="B106" s="12">
        <f>'التقرير اليومى'!D206</f>
        <v>41.2</v>
      </c>
      <c r="C106" s="12">
        <f>'التقرير اليومى'!G206</f>
        <v>39.979999999999997</v>
      </c>
      <c r="D106" s="15">
        <f t="shared" si="2"/>
        <v>-2.9611650485437038E-2</v>
      </c>
      <c r="E106" s="12">
        <f>'التقرير اليومى'!D207</f>
        <v>79</v>
      </c>
      <c r="F106" s="12">
        <f>'التقرير اليومى'!G207</f>
        <v>76.5</v>
      </c>
      <c r="G106" s="15">
        <f t="shared" si="3"/>
        <v>-3.1645569620253167E-2</v>
      </c>
      <c r="H106" s="5"/>
      <c r="I106" s="6"/>
      <c r="J106" s="6"/>
      <c r="K106" s="6"/>
      <c r="L106" s="7"/>
      <c r="M106" s="8"/>
    </row>
    <row r="107" spans="1:13" ht="25.2" x14ac:dyDescent="0.25">
      <c r="A107" s="17">
        <f>'التقرير اليومى'!A208</f>
        <v>46187</v>
      </c>
      <c r="B107" s="12">
        <f>'التقرير اليومى'!D208</f>
        <v>39.979999999999997</v>
      </c>
      <c r="C107" s="12">
        <f>'التقرير اليومى'!G208</f>
        <v>38.42</v>
      </c>
      <c r="D107" s="15">
        <f t="shared" si="2"/>
        <v>-3.9019509754877321E-2</v>
      </c>
      <c r="E107" s="12">
        <f>'التقرير اليومى'!D209</f>
        <v>76.5</v>
      </c>
      <c r="F107" s="12">
        <f>'التقرير اليومى'!G209</f>
        <v>72.75</v>
      </c>
      <c r="G107" s="15">
        <f t="shared" si="3"/>
        <v>-4.9019607843137254E-2</v>
      </c>
      <c r="H107" s="5"/>
      <c r="I107" s="6"/>
      <c r="J107" s="6"/>
      <c r="K107" s="6"/>
      <c r="L107" s="7"/>
      <c r="M107" s="8"/>
    </row>
    <row r="108" spans="1:13" ht="25.2" x14ac:dyDescent="0.25">
      <c r="A108" s="17">
        <f>'التقرير اليومى'!A210</f>
        <v>46188</v>
      </c>
      <c r="B108" s="12">
        <f>'التقرير اليومى'!D210</f>
        <v>38.42</v>
      </c>
      <c r="C108" s="12">
        <f>'التقرير اليومى'!G210</f>
        <v>37.4</v>
      </c>
      <c r="D108" s="15">
        <f t="shared" si="2"/>
        <v>-2.6548672566371761E-2</v>
      </c>
      <c r="E108" s="12">
        <f>'التقرير اليومى'!D211</f>
        <v>72.75</v>
      </c>
      <c r="F108" s="12">
        <f>'التقرير اليومى'!G211</f>
        <v>72.739999999999995</v>
      </c>
      <c r="G108" s="15">
        <f t="shared" si="3"/>
        <v>-1.3745704467360985E-4</v>
      </c>
      <c r="H108" s="5"/>
      <c r="I108" s="6"/>
      <c r="J108" s="6"/>
      <c r="K108" s="6"/>
      <c r="L108" s="7"/>
      <c r="M108" s="8"/>
    </row>
    <row r="109" spans="1:13" ht="25.2" x14ac:dyDescent="0.25">
      <c r="A109" s="17">
        <f>'التقرير اليومى'!A212</f>
        <v>46189</v>
      </c>
      <c r="B109" s="12">
        <f>'التقرير اليومى'!D212</f>
        <v>37.4</v>
      </c>
      <c r="C109" s="12">
        <f>'التقرير اليومى'!G212</f>
        <v>37.17</v>
      </c>
      <c r="D109" s="15">
        <f t="shared" si="2"/>
        <v>-6.1497326203207719E-3</v>
      </c>
      <c r="E109" s="12">
        <f>'التقرير اليومى'!D213</f>
        <v>72.739999999999995</v>
      </c>
      <c r="F109" s="12">
        <f>'التقرير اليومى'!G213</f>
        <v>71.16</v>
      </c>
      <c r="G109" s="15">
        <f t="shared" si="3"/>
        <v>-2.1721198790211692E-2</v>
      </c>
      <c r="H109" s="5"/>
      <c r="I109" s="6"/>
      <c r="J109" s="6"/>
      <c r="K109" s="6"/>
      <c r="L109" s="7"/>
      <c r="M109" s="8"/>
    </row>
    <row r="110" spans="1:13" ht="25.2" x14ac:dyDescent="0.25">
      <c r="A110" s="17">
        <f>'التقرير اليومى'!A214</f>
        <v>46190</v>
      </c>
      <c r="B110" s="12">
        <f>'التقرير اليومى'!D214</f>
        <v>37.17</v>
      </c>
      <c r="C110" s="12">
        <f>'التقرير اليومى'!G214</f>
        <v>36.700000000000003</v>
      </c>
      <c r="D110" s="15">
        <f t="shared" si="2"/>
        <v>-1.2644605864944817E-2</v>
      </c>
      <c r="E110" s="12">
        <f>'التقرير اليومى'!D215</f>
        <v>71.16</v>
      </c>
      <c r="F110" s="12">
        <f>'التقرير اليومى'!G215</f>
        <v>70.5</v>
      </c>
      <c r="G110" s="15">
        <f t="shared" si="3"/>
        <v>-9.2748735244518911E-3</v>
      </c>
      <c r="H110" s="5"/>
      <c r="I110" s="6"/>
      <c r="J110" s="6"/>
      <c r="K110" s="6"/>
      <c r="L110" s="7"/>
      <c r="M110" s="8"/>
    </row>
    <row r="111" spans="1:13" ht="25.2" x14ac:dyDescent="0.25">
      <c r="A111" s="17">
        <f>'التقرير اليومى'!A216</f>
        <v>46194</v>
      </c>
      <c r="B111" s="12">
        <f>'التقرير اليومى'!D216</f>
        <v>36.700000000000003</v>
      </c>
      <c r="C111" s="12">
        <f>'التقرير اليومى'!G216</f>
        <v>37.22</v>
      </c>
      <c r="D111" s="15">
        <f t="shared" si="2"/>
        <v>1.4168937329700163E-2</v>
      </c>
      <c r="E111" s="12">
        <f>'التقرير اليومى'!D217</f>
        <v>70.5</v>
      </c>
      <c r="F111" s="12">
        <f>'التقرير اليومى'!G217</f>
        <v>71.489999999999995</v>
      </c>
      <c r="G111" s="15">
        <f t="shared" si="3"/>
        <v>1.4042553191489289E-2</v>
      </c>
      <c r="H111" s="5"/>
      <c r="I111" s="6"/>
      <c r="J111" s="6"/>
      <c r="K111" s="6"/>
      <c r="L111" s="7"/>
      <c r="M111" s="8"/>
    </row>
    <row r="112" spans="1:13" ht="25.2" x14ac:dyDescent="0.25">
      <c r="A112" s="17">
        <f>'التقرير اليومى'!A218</f>
        <v>46195</v>
      </c>
      <c r="B112" s="12">
        <f>'التقرير اليومى'!D218</f>
        <v>37.22</v>
      </c>
      <c r="C112" s="12">
        <f>'التقرير اليومى'!G218</f>
        <v>35.200000000000003</v>
      </c>
      <c r="D112" s="15">
        <f t="shared" si="2"/>
        <v>-5.4271896829661367E-2</v>
      </c>
      <c r="E112" s="12">
        <f>'التقرير اليومى'!D219</f>
        <v>71.489999999999995</v>
      </c>
      <c r="F112" s="12">
        <f>'التقرير اليومى'!G219</f>
        <v>68.56</v>
      </c>
      <c r="G112" s="15">
        <f t="shared" si="3"/>
        <v>-4.0984753112323302E-2</v>
      </c>
      <c r="H112" s="5"/>
      <c r="I112" s="6"/>
      <c r="J112" s="6"/>
      <c r="K112" s="6"/>
      <c r="L112" s="7"/>
      <c r="M112" s="8"/>
    </row>
    <row r="113" spans="1:13" ht="25.2" x14ac:dyDescent="0.25">
      <c r="A113" s="17">
        <f>'التقرير اليومى'!A220</f>
        <v>46196</v>
      </c>
      <c r="B113" s="12">
        <f>'التقرير اليومى'!D220</f>
        <v>35.200000000000003</v>
      </c>
      <c r="C113" s="12">
        <f>'التقرير اليومى'!G220</f>
        <v>35.659999999999997</v>
      </c>
      <c r="D113" s="15">
        <f t="shared" si="2"/>
        <v>1.3068181818181639E-2</v>
      </c>
      <c r="E113" s="12">
        <f>'التقرير اليومى'!D221</f>
        <v>68.56</v>
      </c>
      <c r="F113" s="12">
        <f>'التقرير اليومى'!G221</f>
        <v>68.599999999999994</v>
      </c>
      <c r="G113" s="15">
        <f t="shared" si="3"/>
        <v>5.8343057176184427E-4</v>
      </c>
      <c r="H113" s="5"/>
      <c r="I113" s="6"/>
      <c r="J113" s="6"/>
      <c r="K113" s="6"/>
      <c r="L113" s="7"/>
      <c r="M113" s="8"/>
    </row>
    <row r="114" spans="1:13" ht="25.2" x14ac:dyDescent="0.25">
      <c r="A114" s="17">
        <f>'التقرير اليومى'!A222</f>
        <v>46197</v>
      </c>
      <c r="B114" s="12">
        <f>'التقرير اليومى'!D222</f>
        <v>35.659999999999997</v>
      </c>
      <c r="C114" s="12">
        <f>'التقرير اليومى'!G222</f>
        <v>36.15</v>
      </c>
      <c r="D114" s="15">
        <f t="shared" si="2"/>
        <v>1.3740886146943411E-2</v>
      </c>
      <c r="E114" s="12">
        <f>'التقرير اليومى'!D223</f>
        <v>68.599999999999994</v>
      </c>
      <c r="F114" s="12">
        <f>'التقرير اليومى'!G223</f>
        <v>69.849999999999994</v>
      </c>
      <c r="G114" s="15">
        <f t="shared" si="3"/>
        <v>1.8221574344023325E-2</v>
      </c>
      <c r="H114" s="5"/>
      <c r="I114" s="6"/>
      <c r="J114" s="6"/>
      <c r="K114" s="6"/>
      <c r="L114" s="7"/>
      <c r="M114" s="8"/>
    </row>
    <row r="115" spans="1:13" ht="25.2" x14ac:dyDescent="0.25">
      <c r="A115" s="17">
        <f>'التقرير اليومى'!A224</f>
        <v>46198</v>
      </c>
      <c r="B115" s="12">
        <f>'التقرير اليومى'!D224</f>
        <v>36.15</v>
      </c>
      <c r="C115" s="12">
        <f>'التقرير اليومى'!G224</f>
        <v>35.5</v>
      </c>
      <c r="D115" s="15">
        <f t="shared" si="2"/>
        <v>-1.7980636237897609E-2</v>
      </c>
      <c r="E115" s="12">
        <f>'التقرير اليومى'!D225</f>
        <v>69.849999999999994</v>
      </c>
      <c r="F115" s="12">
        <f>'التقرير اليومى'!G225</f>
        <v>69.05</v>
      </c>
      <c r="G115" s="15">
        <f t="shared" si="3"/>
        <v>-1.1453113815318499E-2</v>
      </c>
      <c r="H115" s="5"/>
      <c r="I115" s="6"/>
      <c r="J115" s="6"/>
      <c r="K115" s="6"/>
      <c r="L115" s="7"/>
      <c r="M115" s="8"/>
    </row>
    <row r="116" spans="1:13" ht="25.2" x14ac:dyDescent="0.25">
      <c r="A116" s="17">
        <f>'التقرير اليومى'!A226</f>
        <v>46201</v>
      </c>
      <c r="B116" s="12">
        <f>'التقرير اليومى'!D226</f>
        <v>35.5</v>
      </c>
      <c r="C116" s="12">
        <f>'التقرير اليومى'!G226</f>
        <v>34.299999999999997</v>
      </c>
      <c r="D116" s="15">
        <f t="shared" si="2"/>
        <v>-3.3802816901408531E-2</v>
      </c>
      <c r="E116" s="12">
        <f>'التقرير اليومى'!D227</f>
        <v>69.05</v>
      </c>
      <c r="F116" s="12">
        <f>'التقرير اليومى'!G227</f>
        <v>67.8</v>
      </c>
      <c r="G116" s="15">
        <f t="shared" si="3"/>
        <v>-1.8102824040550327E-2</v>
      </c>
      <c r="H116" s="5"/>
      <c r="I116" s="6"/>
      <c r="J116" s="6"/>
      <c r="K116" s="6"/>
      <c r="L116" s="7"/>
      <c r="M116" s="8"/>
    </row>
    <row r="117" spans="1:13" ht="25.2" x14ac:dyDescent="0.25">
      <c r="A117" s="17">
        <f>'التقرير اليومى'!A228</f>
        <v>46202</v>
      </c>
      <c r="B117" s="12">
        <f>'التقرير اليومى'!D228</f>
        <v>34.299999999999997</v>
      </c>
      <c r="C117" s="12">
        <f>'التقرير اليومى'!G228</f>
        <v>34.590000000000003</v>
      </c>
      <c r="D117" s="15">
        <f t="shared" si="2"/>
        <v>8.4548104956270048E-3</v>
      </c>
      <c r="E117" s="12">
        <f>'التقرير اليومى'!D229</f>
        <v>67.8</v>
      </c>
      <c r="F117" s="12">
        <f>'التقرير اليومى'!G229</f>
        <v>66.900000000000006</v>
      </c>
      <c r="G117" s="15">
        <f t="shared" si="3"/>
        <v>-1.3274336283185716E-2</v>
      </c>
      <c r="H117" s="5"/>
      <c r="I117" s="6"/>
      <c r="J117" s="6"/>
      <c r="K117" s="6"/>
      <c r="L117" s="7"/>
      <c r="M117" s="8"/>
    </row>
    <row r="118" spans="1:13" ht="25.2" x14ac:dyDescent="0.25">
      <c r="A118" s="17">
        <f>'التقرير اليومى'!A230</f>
        <v>46203</v>
      </c>
      <c r="B118" s="12">
        <f>'التقرير اليومى'!D230</f>
        <v>34.590000000000003</v>
      </c>
      <c r="C118" s="12">
        <f>'التقرير اليومى'!G230</f>
        <v>35.17</v>
      </c>
      <c r="D118" s="15">
        <f t="shared" si="2"/>
        <v>1.6767851980341086E-2</v>
      </c>
      <c r="E118" s="12">
        <f>'التقرير اليومى'!D231</f>
        <v>66.900000000000006</v>
      </c>
      <c r="F118" s="12">
        <f>'التقرير اليومى'!G231</f>
        <v>67.599999999999994</v>
      </c>
      <c r="G118" s="15">
        <f t="shared" si="3"/>
        <v>1.0463378176382489E-2</v>
      </c>
      <c r="H118" s="5"/>
      <c r="I118" s="6"/>
      <c r="J118" s="6"/>
      <c r="K118" s="6"/>
      <c r="L118" s="7"/>
      <c r="M118" s="8"/>
    </row>
    <row r="119" spans="1:13" ht="25.2" x14ac:dyDescent="0.25">
      <c r="A119" s="17">
        <f>'التقرير اليومى'!A232</f>
        <v>46204</v>
      </c>
      <c r="B119" s="12">
        <f>'التقرير اليومى'!D232</f>
        <v>35.17</v>
      </c>
      <c r="C119" s="12">
        <f>'التقرير اليومى'!G232</f>
        <v>36</v>
      </c>
      <c r="D119" s="15">
        <f t="shared" si="2"/>
        <v>2.3599658800113683E-2</v>
      </c>
      <c r="E119" s="12">
        <f>'التقرير اليومى'!D233</f>
        <v>67.599999999999994</v>
      </c>
      <c r="F119" s="12">
        <f>'التقرير اليومى'!G233</f>
        <v>67.97</v>
      </c>
      <c r="G119" s="15">
        <f t="shared" si="3"/>
        <v>5.4733727810651568E-3</v>
      </c>
      <c r="H119" s="5"/>
      <c r="I119" s="6"/>
      <c r="J119" s="6"/>
      <c r="K119" s="6"/>
      <c r="L119" s="7"/>
      <c r="M119" s="8"/>
    </row>
    <row r="120" spans="1:13" ht="25.2" x14ac:dyDescent="0.25">
      <c r="A120" s="17">
        <f>'التقرير اليومى'!A234</f>
        <v>46208</v>
      </c>
      <c r="B120" s="12">
        <f>'التقرير اليومى'!D234</f>
        <v>36</v>
      </c>
      <c r="C120" s="12">
        <f>'التقرير اليومى'!G234</f>
        <v>36.299999999999997</v>
      </c>
      <c r="D120" s="15">
        <f t="shared" si="2"/>
        <v>8.3333333333332552E-3</v>
      </c>
      <c r="E120" s="12">
        <f>'التقرير اليومى'!D235</f>
        <v>67.97</v>
      </c>
      <c r="F120" s="12">
        <f>'التقرير اليومى'!G235</f>
        <v>69.7</v>
      </c>
      <c r="G120" s="15">
        <f t="shared" si="3"/>
        <v>2.5452405473002853E-2</v>
      </c>
      <c r="H120" s="5"/>
      <c r="I120" s="6"/>
      <c r="J120" s="6"/>
      <c r="K120" s="6"/>
      <c r="L120" s="7"/>
      <c r="M120" s="8"/>
    </row>
    <row r="121" spans="1:13" ht="25.2" x14ac:dyDescent="0.25">
      <c r="A121" s="17">
        <f>'التقرير اليومى'!A236</f>
        <v>46209</v>
      </c>
      <c r="B121" s="12">
        <f>'التقرير اليومى'!D236</f>
        <v>36.299999999999997</v>
      </c>
      <c r="C121" s="12">
        <f>'التقرير اليومى'!G236</f>
        <v>35.770000000000003</v>
      </c>
      <c r="D121" s="15">
        <f t="shared" si="2"/>
        <v>-1.4600550964187164E-2</v>
      </c>
      <c r="E121" s="12">
        <f>'التقرير اليومى'!D237</f>
        <v>69.7</v>
      </c>
      <c r="F121" s="12">
        <f>'التقرير اليومى'!G237</f>
        <v>69.7</v>
      </c>
      <c r="G121" s="15">
        <f t="shared" si="3"/>
        <v>0</v>
      </c>
      <c r="H121" s="5"/>
      <c r="I121" s="6"/>
      <c r="J121" s="6"/>
      <c r="K121" s="6"/>
      <c r="L121" s="7"/>
      <c r="M121" s="8"/>
    </row>
    <row r="122" spans="1:13" ht="25.2" x14ac:dyDescent="0.25">
      <c r="A122" s="17">
        <f>'التقرير اليومى'!A238</f>
        <v>46210</v>
      </c>
      <c r="B122" s="12">
        <f>'التقرير اليومى'!D238</f>
        <v>35.770000000000003</v>
      </c>
      <c r="C122" s="12">
        <f>'التقرير اليومى'!G238</f>
        <v>35.69</v>
      </c>
      <c r="D122" s="15">
        <f t="shared" si="2"/>
        <v>-2.2365110427734246E-3</v>
      </c>
      <c r="E122" s="12">
        <f>'التقرير اليومى'!D239</f>
        <v>69.7</v>
      </c>
      <c r="F122" s="12">
        <f>'التقرير اليومى'!G239</f>
        <v>69.72</v>
      </c>
      <c r="G122" s="15">
        <f t="shared" si="3"/>
        <v>2.8694404591099026E-4</v>
      </c>
      <c r="H122" s="5"/>
      <c r="I122" s="6"/>
      <c r="J122" s="6"/>
      <c r="K122" s="6"/>
      <c r="L122" s="7"/>
      <c r="M122" s="8"/>
    </row>
    <row r="123" spans="1:13" ht="25.2" x14ac:dyDescent="0.25">
      <c r="A123" s="17">
        <f>'التقرير اليومى'!A240</f>
        <v>46211</v>
      </c>
      <c r="B123" s="12">
        <f>'التقرير اليومى'!D240</f>
        <v>35.69</v>
      </c>
      <c r="C123" s="12">
        <f>'التقرير اليومى'!G240</f>
        <v>37.5</v>
      </c>
      <c r="D123" s="15">
        <f t="shared" si="2"/>
        <v>5.0714485850378327E-2</v>
      </c>
      <c r="E123" s="12">
        <f>'التقرير اليومى'!D241</f>
        <v>69.72</v>
      </c>
      <c r="F123" s="12">
        <f>'التقرير اليومى'!G241</f>
        <v>71.3</v>
      </c>
      <c r="G123" s="15">
        <f t="shared" si="3"/>
        <v>2.2662076878944323E-2</v>
      </c>
      <c r="H123" s="5"/>
      <c r="I123" s="6"/>
      <c r="J123" s="6"/>
      <c r="K123" s="6"/>
      <c r="L123" s="7"/>
      <c r="M123" s="8"/>
    </row>
    <row r="124" spans="1:13" ht="25.2" x14ac:dyDescent="0.25">
      <c r="A124" s="17">
        <f>'التقرير اليومى'!A242</f>
        <v>46212</v>
      </c>
      <c r="B124" s="12">
        <f>'التقرير اليومى'!D242</f>
        <v>37.5</v>
      </c>
      <c r="C124" s="12">
        <f>'التقرير اليومى'!G242</f>
        <v>36.9</v>
      </c>
      <c r="D124" s="15">
        <f t="shared" si="2"/>
        <v>-1.6000000000000038E-2</v>
      </c>
      <c r="E124" s="12">
        <f>'التقرير اليومى'!D243</f>
        <v>71.3</v>
      </c>
      <c r="F124" s="12">
        <f>'التقرير اليومى'!G243</f>
        <v>70.03</v>
      </c>
      <c r="G124" s="15">
        <f t="shared" si="3"/>
        <v>-1.781206171107989E-2</v>
      </c>
      <c r="H124" s="5"/>
      <c r="I124" s="6"/>
      <c r="J124" s="6"/>
      <c r="K124" s="6"/>
      <c r="L124" s="7"/>
      <c r="M124" s="8"/>
    </row>
    <row r="125" spans="1:13" ht="25.2" x14ac:dyDescent="0.25">
      <c r="A125" s="17">
        <f>'التقرير اليومى'!A244</f>
        <v>46215</v>
      </c>
      <c r="B125" s="12">
        <f>'التقرير اليومى'!D244</f>
        <v>36.9</v>
      </c>
      <c r="C125" s="12">
        <f>'التقرير اليومى'!G244</f>
        <v>37.19</v>
      </c>
      <c r="D125" s="15">
        <f t="shared" si="2"/>
        <v>7.8590785907858857E-3</v>
      </c>
      <c r="E125" s="12">
        <f>'التقرير اليومى'!D245</f>
        <v>70.03</v>
      </c>
      <c r="F125" s="12">
        <f>'التقرير اليومى'!G245</f>
        <v>69.599999999999994</v>
      </c>
      <c r="G125" s="15">
        <f t="shared" si="3"/>
        <v>-6.1402256175925578E-3</v>
      </c>
      <c r="H125" s="5"/>
      <c r="I125" s="6"/>
      <c r="J125" s="6"/>
      <c r="K125" s="6"/>
      <c r="L125" s="7"/>
      <c r="M125" s="8"/>
    </row>
    <row r="126" spans="1:13" ht="25.2" x14ac:dyDescent="0.25">
      <c r="A126" s="17">
        <f>'التقرير اليومى'!A246</f>
        <v>46216</v>
      </c>
      <c r="B126" s="12">
        <f>'التقرير اليومى'!D246</f>
        <v>37.19</v>
      </c>
      <c r="C126" s="12">
        <f>'التقرير اليومى'!G246</f>
        <v>37.1</v>
      </c>
      <c r="D126" s="15">
        <f t="shared" si="2"/>
        <v>-2.4200053777896293E-3</v>
      </c>
      <c r="E126" s="12">
        <f>'التقرير اليومى'!D247</f>
        <v>69.599999999999994</v>
      </c>
      <c r="F126" s="12">
        <f>'التقرير اليومى'!G247</f>
        <v>69.05</v>
      </c>
      <c r="G126" s="15">
        <f t="shared" si="3"/>
        <v>-7.9022988505746718E-3</v>
      </c>
      <c r="H126" s="5"/>
      <c r="I126" s="6"/>
      <c r="J126" s="6"/>
      <c r="K126" s="6"/>
      <c r="L126" s="7"/>
      <c r="M126" s="8"/>
    </row>
    <row r="127" spans="1:13" ht="25.2" x14ac:dyDescent="0.25">
      <c r="A127" s="17">
        <f>'التقرير اليومى'!A248</f>
        <v>46217</v>
      </c>
      <c r="B127" s="12">
        <f>'التقرير اليومى'!D248</f>
        <v>37.1</v>
      </c>
      <c r="C127" s="12">
        <f>'التقرير اليومى'!G248</f>
        <v>38.6</v>
      </c>
      <c r="D127" s="15">
        <f t="shared" si="2"/>
        <v>4.0431266846361183E-2</v>
      </c>
      <c r="E127" s="12">
        <f>'التقرير اليومى'!D249</f>
        <v>69.05</v>
      </c>
      <c r="F127" s="12">
        <f>'التقرير اليومى'!G249</f>
        <v>73.31</v>
      </c>
      <c r="G127" s="15">
        <f t="shared" si="3"/>
        <v>6.1694424330195584E-2</v>
      </c>
      <c r="H127" s="5"/>
      <c r="I127" s="6"/>
      <c r="J127" s="6"/>
      <c r="K127" s="6"/>
      <c r="L127" s="7"/>
      <c r="M127" s="8"/>
    </row>
    <row r="128" spans="1:13" ht="25.2" x14ac:dyDescent="0.25">
      <c r="A128" s="17">
        <f>'التقرير اليومى'!A250</f>
        <v>46218</v>
      </c>
      <c r="B128" s="12">
        <f>'التقرير اليومى'!D250</f>
        <v>38.6</v>
      </c>
      <c r="C128" s="12">
        <f>'التقرير اليومى'!G250</f>
        <v>38</v>
      </c>
      <c r="D128" s="15">
        <f t="shared" si="2"/>
        <v>-1.5544041450777238E-2</v>
      </c>
      <c r="E128" s="12">
        <f>'التقرير اليومى'!D251</f>
        <v>73.31</v>
      </c>
      <c r="F128" s="12">
        <f>'التقرير اليومى'!G251</f>
        <v>72</v>
      </c>
      <c r="G128" s="15">
        <f t="shared" si="3"/>
        <v>-1.7869322057018171E-2</v>
      </c>
      <c r="H128" s="5"/>
      <c r="I128" s="6"/>
      <c r="J128" s="6"/>
      <c r="K128" s="6"/>
      <c r="L128" s="7"/>
      <c r="M128" s="8"/>
    </row>
    <row r="129" spans="1:13" ht="25.2" x14ac:dyDescent="0.25">
      <c r="A129" s="17">
        <f>'التقرير اليومى'!A252</f>
        <v>46219</v>
      </c>
      <c r="B129" s="12">
        <f>'التقرير اليومى'!D252</f>
        <v>38</v>
      </c>
      <c r="C129" s="12">
        <f>'التقرير اليومى'!G252</f>
        <v>37.799999999999997</v>
      </c>
      <c r="D129" s="15">
        <f t="shared" si="2"/>
        <v>-5.2631578947369166E-3</v>
      </c>
      <c r="E129" s="12">
        <f>'التقرير اليومى'!D253</f>
        <v>72</v>
      </c>
      <c r="F129" s="12">
        <f>'التقرير اليومى'!G253</f>
        <v>73.7</v>
      </c>
      <c r="G129" s="15">
        <f t="shared" si="3"/>
        <v>2.3611111111111152E-2</v>
      </c>
      <c r="H129" s="5"/>
      <c r="I129" s="6"/>
      <c r="J129" s="6"/>
      <c r="K129" s="6"/>
      <c r="L129" s="7"/>
      <c r="M129" s="8"/>
    </row>
    <row r="130" spans="1:13" ht="25.2" x14ac:dyDescent="0.25">
      <c r="A130" s="17">
        <f>'التقرير اليومى'!A254</f>
        <v>46222</v>
      </c>
      <c r="B130" s="12">
        <f>'التقرير اليومى'!D254</f>
        <v>37.799999999999997</v>
      </c>
      <c r="C130" s="12">
        <f>'التقرير اليومى'!G254</f>
        <v>38.380000000000003</v>
      </c>
      <c r="D130" s="15">
        <f t="shared" si="2"/>
        <v>1.5343915343915488E-2</v>
      </c>
      <c r="E130" s="12">
        <f>'التقرير اليومى'!D255</f>
        <v>73.7</v>
      </c>
      <c r="F130" s="12">
        <f>'التقرير اليومى'!G255</f>
        <v>74.61</v>
      </c>
      <c r="G130" s="15">
        <f t="shared" si="3"/>
        <v>1.2347354138398868E-2</v>
      </c>
      <c r="H130" s="5"/>
      <c r="I130" s="6"/>
      <c r="J130" s="6"/>
      <c r="K130" s="6"/>
      <c r="L130" s="7"/>
      <c r="M130" s="8"/>
    </row>
    <row r="131" spans="1:13" ht="25.2" x14ac:dyDescent="0.25">
      <c r="A131" s="17">
        <f>'التقرير اليومى'!A256</f>
        <v>46223</v>
      </c>
      <c r="B131" s="12">
        <f>'التقرير اليومى'!D256</f>
        <v>38.380000000000003</v>
      </c>
      <c r="C131" s="12">
        <f>'التقرير اليومى'!G256</f>
        <v>37.9</v>
      </c>
      <c r="D131" s="15">
        <f t="shared" si="2"/>
        <v>-1.2506513809275767E-2</v>
      </c>
      <c r="E131" s="12">
        <f>'التقرير اليومى'!D257</f>
        <v>74.61</v>
      </c>
      <c r="F131" s="12">
        <f>'التقرير اليومى'!G257</f>
        <v>72.89</v>
      </c>
      <c r="G131" s="15">
        <f t="shared" si="3"/>
        <v>-2.3053210025465742E-2</v>
      </c>
      <c r="H131" s="5"/>
      <c r="I131" s="6"/>
      <c r="J131" s="6"/>
      <c r="K131" s="6"/>
      <c r="L131" s="7"/>
      <c r="M131" s="8"/>
    </row>
    <row r="132" spans="1:13" ht="25.2" x14ac:dyDescent="0.25">
      <c r="A132" s="17">
        <f>'التقرير اليومى'!A258</f>
        <v>46224</v>
      </c>
      <c r="B132" s="12">
        <f>'التقرير اليومى'!D258</f>
        <v>37.9</v>
      </c>
      <c r="C132" s="12">
        <f>'التقرير اليومى'!G258</f>
        <v>37.65</v>
      </c>
      <c r="D132" s="15">
        <f t="shared" ref="D132:D182" si="4">(C132-B132)/B132</f>
        <v>-6.5963060686015833E-3</v>
      </c>
      <c r="E132" s="12">
        <f>'التقرير اليومى'!D259</f>
        <v>72.89</v>
      </c>
      <c r="F132" s="12">
        <f>'التقرير اليومى'!G259</f>
        <v>72.87</v>
      </c>
      <c r="G132" s="15">
        <f t="shared" ref="G132:G182" si="5">(F132-E132)/E132</f>
        <v>-2.7438606118803706E-4</v>
      </c>
      <c r="H132" s="5"/>
      <c r="I132" s="6"/>
      <c r="J132" s="6"/>
      <c r="K132" s="6"/>
      <c r="L132" s="7"/>
      <c r="M132" s="8"/>
    </row>
    <row r="133" spans="1:13" ht="25.2" x14ac:dyDescent="0.25">
      <c r="A133" s="17">
        <f>'التقرير اليومى'!A260</f>
        <v>46225</v>
      </c>
      <c r="B133" s="12">
        <f>'التقرير اليومى'!D260</f>
        <v>37.65</v>
      </c>
      <c r="C133" s="12">
        <f>'التقرير اليومى'!G260</f>
        <v>37.22</v>
      </c>
      <c r="D133" s="15">
        <f t="shared" si="4"/>
        <v>-1.1420982735723765E-2</v>
      </c>
      <c r="E133" s="12">
        <f>'التقرير اليومى'!D261</f>
        <v>72.87</v>
      </c>
      <c r="F133" s="12">
        <f>'التقرير اليومى'!G261</f>
        <v>72.3</v>
      </c>
      <c r="G133" s="15">
        <f t="shared" si="5"/>
        <v>-7.8221490325237741E-3</v>
      </c>
      <c r="H133" s="5"/>
      <c r="I133" s="6"/>
      <c r="J133" s="6"/>
      <c r="K133" s="6"/>
      <c r="L133" s="7"/>
      <c r="M133" s="8"/>
    </row>
    <row r="134" spans="1:13" ht="25.2" x14ac:dyDescent="0.25">
      <c r="A134" s="17">
        <f>'التقرير اليومى'!A262</f>
        <v>46229</v>
      </c>
      <c r="B134" s="12">
        <f>'التقرير اليومى'!D262</f>
        <v>37.22</v>
      </c>
      <c r="C134" s="12">
        <f>'التقرير اليومى'!G262</f>
        <v>36.75</v>
      </c>
      <c r="D134" s="15">
        <f t="shared" si="4"/>
        <v>-1.2627619559376649E-2</v>
      </c>
      <c r="E134" s="12">
        <f>'التقرير اليومى'!D263</f>
        <v>72.3</v>
      </c>
      <c r="F134" s="12">
        <f>'التقرير اليومى'!G263</f>
        <v>70.88</v>
      </c>
      <c r="G134" s="15">
        <f t="shared" si="5"/>
        <v>-1.9640387275242071E-2</v>
      </c>
      <c r="H134" s="5"/>
      <c r="I134" s="6"/>
      <c r="J134" s="6"/>
      <c r="K134" s="6"/>
      <c r="L134" s="7"/>
      <c r="M134" s="8"/>
    </row>
    <row r="135" spans="1:13" ht="25.2" x14ac:dyDescent="0.25">
      <c r="A135" s="17">
        <f>'التقرير اليومى'!A264</f>
        <v>46230</v>
      </c>
      <c r="B135" s="12">
        <f>'التقرير اليومى'!D264</f>
        <v>36.75</v>
      </c>
      <c r="C135" s="12">
        <f>'التقرير اليومى'!G264</f>
        <v>36.5</v>
      </c>
      <c r="D135" s="15">
        <f t="shared" si="4"/>
        <v>-6.8027210884353739E-3</v>
      </c>
      <c r="E135" s="12">
        <f>'التقرير اليومى'!D265</f>
        <v>70.88</v>
      </c>
      <c r="F135" s="12">
        <f>'التقرير اليومى'!G265</f>
        <v>71.45</v>
      </c>
      <c r="G135" s="15">
        <f t="shared" si="5"/>
        <v>8.0417607223477339E-3</v>
      </c>
      <c r="H135" s="5"/>
      <c r="I135" s="6"/>
      <c r="J135" s="6"/>
      <c r="K135" s="6"/>
      <c r="L135" s="7"/>
      <c r="M135" s="8"/>
    </row>
    <row r="136" spans="1:13" ht="25.2" x14ac:dyDescent="0.25">
      <c r="A136" s="17">
        <f>'التقرير اليومى'!A266</f>
        <v>46231</v>
      </c>
      <c r="B136" s="12">
        <f>'التقرير اليومى'!D266</f>
        <v>36.5</v>
      </c>
      <c r="C136" s="12">
        <f>'التقرير اليومى'!G266</f>
        <v>36.549999999999997</v>
      </c>
      <c r="D136" s="15">
        <f t="shared" si="4"/>
        <v>1.3698630136985523E-3</v>
      </c>
      <c r="E136" s="12">
        <f>'التقرير اليومى'!D267</f>
        <v>71.45</v>
      </c>
      <c r="F136" s="12">
        <f>'التقرير اليومى'!G267</f>
        <v>71.52</v>
      </c>
      <c r="G136" s="15">
        <f t="shared" si="5"/>
        <v>9.7970608817345237E-4</v>
      </c>
      <c r="H136" s="5"/>
      <c r="I136" s="6"/>
      <c r="J136" s="6"/>
      <c r="K136" s="6"/>
      <c r="L136" s="7"/>
      <c r="M136" s="8"/>
    </row>
    <row r="137" spans="1:13" ht="25.2" x14ac:dyDescent="0.25">
      <c r="A137" s="17">
        <f>'التقرير اليومى'!A268</f>
        <v>46232</v>
      </c>
      <c r="B137" s="12">
        <f>'التقرير اليومى'!D268</f>
        <v>36.549999999999997</v>
      </c>
      <c r="C137" s="12">
        <f>'التقرير اليومى'!G268</f>
        <v>36.619999999999997</v>
      </c>
      <c r="D137" s="15">
        <f t="shared" si="4"/>
        <v>1.9151846785225798E-3</v>
      </c>
      <c r="E137" s="12">
        <f>'التقرير اليومى'!D269</f>
        <v>71.52</v>
      </c>
      <c r="F137" s="12">
        <f>'التقرير اليومى'!G269</f>
        <v>71.319999999999993</v>
      </c>
      <c r="G137" s="15">
        <f t="shared" si="5"/>
        <v>-2.796420581655521E-3</v>
      </c>
      <c r="H137" s="5"/>
      <c r="I137" s="6"/>
      <c r="J137" s="6"/>
      <c r="K137" s="6"/>
      <c r="L137" s="7"/>
      <c r="M137" s="8"/>
    </row>
    <row r="138" spans="1:13" ht="25.2" x14ac:dyDescent="0.25">
      <c r="A138" s="17">
        <f>'التقرير اليومى'!A270</f>
        <v>46233</v>
      </c>
      <c r="B138" s="12">
        <f>'التقرير اليومى'!D270</f>
        <v>36.619999999999997</v>
      </c>
      <c r="C138" s="12">
        <f>'التقرير اليومى'!G270</f>
        <v>36.619999999999997</v>
      </c>
      <c r="D138" s="15">
        <f t="shared" si="4"/>
        <v>0</v>
      </c>
      <c r="E138" s="12">
        <f>'التقرير اليومى'!D271</f>
        <v>71.319999999999993</v>
      </c>
      <c r="F138" s="12">
        <f>'التقرير اليومى'!G271</f>
        <v>73</v>
      </c>
      <c r="G138" s="15">
        <f t="shared" si="5"/>
        <v>2.3555804823331562E-2</v>
      </c>
      <c r="H138" s="5"/>
      <c r="I138" s="6"/>
      <c r="J138" s="6"/>
      <c r="K138" s="6"/>
      <c r="L138" s="7"/>
      <c r="M138" s="8"/>
    </row>
    <row r="139" spans="1:13" ht="25.2" x14ac:dyDescent="0.25">
      <c r="A139" s="17">
        <f>'التقرير اليومى'!A272</f>
        <v>46236</v>
      </c>
      <c r="B139" s="12">
        <f>'التقرير اليومى'!D272</f>
        <v>36.619999999999997</v>
      </c>
      <c r="C139" s="12">
        <f>'التقرير اليومى'!G272</f>
        <v>37.75</v>
      </c>
      <c r="D139" s="15">
        <f t="shared" si="4"/>
        <v>3.085745494265436E-2</v>
      </c>
      <c r="E139" s="12">
        <f>'التقرير اليومى'!D273</f>
        <v>73</v>
      </c>
      <c r="F139" s="12">
        <f>'التقرير اليومى'!G273</f>
        <v>74.48</v>
      </c>
      <c r="G139" s="15">
        <f t="shared" si="5"/>
        <v>2.0273972602739779E-2</v>
      </c>
      <c r="H139" s="5"/>
      <c r="I139" s="6"/>
      <c r="J139" s="6"/>
      <c r="K139" s="6"/>
      <c r="L139" s="7"/>
      <c r="M139" s="8"/>
    </row>
    <row r="140" spans="1:13" ht="25.2" x14ac:dyDescent="0.25">
      <c r="A140" s="17">
        <f>'التقرير اليومى'!A274</f>
        <v>46237</v>
      </c>
      <c r="B140" s="12">
        <f>'التقرير اليومى'!D274</f>
        <v>37.75</v>
      </c>
      <c r="C140" s="12">
        <f>'التقرير اليومى'!G274</f>
        <v>36.94</v>
      </c>
      <c r="D140" s="15">
        <f t="shared" si="4"/>
        <v>-2.1456953642384168E-2</v>
      </c>
      <c r="E140" s="12">
        <f>'التقرير اليومى'!D275</f>
        <v>74.48</v>
      </c>
      <c r="F140" s="12">
        <f>'التقرير اليومى'!G275</f>
        <v>72.12</v>
      </c>
      <c r="G140" s="15">
        <f t="shared" si="5"/>
        <v>-3.1686358754027914E-2</v>
      </c>
      <c r="H140" s="5"/>
      <c r="I140" s="6"/>
      <c r="J140" s="6"/>
      <c r="K140" s="6"/>
      <c r="L140" s="7"/>
      <c r="M140" s="8"/>
    </row>
    <row r="141" spans="1:13" ht="25.2" x14ac:dyDescent="0.25">
      <c r="A141" s="17">
        <f>'التقرير اليومى'!A276</f>
        <v>46238</v>
      </c>
      <c r="B141" s="12">
        <f>'التقرير اليومى'!D276</f>
        <v>36.94</v>
      </c>
      <c r="C141" s="12">
        <f>'التقرير اليومى'!G276</f>
        <v>37.200000000000003</v>
      </c>
      <c r="D141" s="15">
        <f t="shared" si="4"/>
        <v>7.0384407146725806E-3</v>
      </c>
      <c r="E141" s="12">
        <f>'التقرير اليومى'!D277</f>
        <v>72.12</v>
      </c>
      <c r="F141" s="12">
        <f>'التقرير اليومى'!G277</f>
        <v>73.180000000000007</v>
      </c>
      <c r="G141" s="15">
        <f t="shared" si="5"/>
        <v>1.4697726012201916E-2</v>
      </c>
      <c r="H141" s="5"/>
      <c r="I141" s="6"/>
      <c r="J141" s="6"/>
      <c r="K141" s="6"/>
      <c r="L141" s="7"/>
      <c r="M141" s="8"/>
    </row>
    <row r="142" spans="1:13" ht="25.2" x14ac:dyDescent="0.25">
      <c r="A142" s="17">
        <f>'التقرير اليومى'!A278</f>
        <v>46239</v>
      </c>
      <c r="B142" s="12">
        <f>'التقرير اليومى'!D278</f>
        <v>37.200000000000003</v>
      </c>
      <c r="C142" s="12">
        <f>'التقرير اليومى'!G278</f>
        <v>37</v>
      </c>
      <c r="D142" s="15">
        <f t="shared" si="4"/>
        <v>-5.3763440860215813E-3</v>
      </c>
      <c r="E142" s="12">
        <f>'التقرير اليومى'!D279</f>
        <v>73.180000000000007</v>
      </c>
      <c r="F142" s="12">
        <f>'التقرير اليومى'!G279</f>
        <v>74</v>
      </c>
      <c r="G142" s="15">
        <f t="shared" si="5"/>
        <v>1.1205247335337429E-2</v>
      </c>
      <c r="H142" s="5"/>
      <c r="I142" s="6"/>
      <c r="J142" s="6"/>
      <c r="K142" s="6"/>
      <c r="L142" s="7"/>
      <c r="M142" s="8"/>
    </row>
    <row r="143" spans="1:13" ht="25.2" x14ac:dyDescent="0.25">
      <c r="A143" s="17">
        <f>'التقرير اليومى'!A280</f>
        <v>46240</v>
      </c>
      <c r="B143" s="12">
        <f>'التقرير اليومى'!D280</f>
        <v>37</v>
      </c>
      <c r="C143" s="12">
        <f>'التقرير اليومى'!G280</f>
        <v>37</v>
      </c>
      <c r="D143" s="15">
        <f t="shared" si="4"/>
        <v>0</v>
      </c>
      <c r="E143" s="12">
        <f>'التقرير اليومى'!D281</f>
        <v>74</v>
      </c>
      <c r="F143" s="12">
        <f>'التقرير اليومى'!G281</f>
        <v>74.2</v>
      </c>
      <c r="G143" s="15">
        <f t="shared" si="5"/>
        <v>2.702702702702741E-3</v>
      </c>
      <c r="H143" s="5"/>
      <c r="I143" s="6"/>
      <c r="J143" s="6"/>
      <c r="K143" s="6"/>
      <c r="L143" s="7"/>
      <c r="M143" s="8"/>
    </row>
    <row r="144" spans="1:13" ht="25.2" x14ac:dyDescent="0.25">
      <c r="A144" s="17">
        <f>'التقرير اليومى'!A282</f>
        <v>46243</v>
      </c>
      <c r="B144" s="12">
        <f>'التقرير اليومى'!D282</f>
        <v>37</v>
      </c>
      <c r="C144" s="12">
        <f>'التقرير اليومى'!G282</f>
        <v>37.18</v>
      </c>
      <c r="D144" s="15">
        <f t="shared" si="4"/>
        <v>4.8648648648648568E-3</v>
      </c>
      <c r="E144" s="12">
        <f>'التقرير اليومى'!D283</f>
        <v>74.2</v>
      </c>
      <c r="F144" s="12">
        <f>'التقرير اليومى'!G283</f>
        <v>74.19</v>
      </c>
      <c r="G144" s="15">
        <f t="shared" si="5"/>
        <v>-1.3477088948793956E-4</v>
      </c>
      <c r="H144" s="5"/>
      <c r="I144" s="6"/>
      <c r="J144" s="6"/>
      <c r="K144" s="6"/>
      <c r="L144" s="7"/>
      <c r="M144" s="8"/>
    </row>
    <row r="145" spans="1:13" ht="25.2" x14ac:dyDescent="0.25">
      <c r="A145" s="17">
        <f>'التقرير اليومى'!A284</f>
        <v>46244</v>
      </c>
      <c r="B145" s="12">
        <f>'التقرير اليومى'!D284</f>
        <v>37.18</v>
      </c>
      <c r="C145" s="12">
        <f>'التقرير اليومى'!G284</f>
        <v>37</v>
      </c>
      <c r="D145" s="15">
        <f t="shared" si="4"/>
        <v>-4.8413125336202187E-3</v>
      </c>
      <c r="E145" s="12">
        <f>'التقرير اليومى'!D285</f>
        <v>74.19</v>
      </c>
      <c r="F145" s="12">
        <f>'التقرير اليومى'!G285</f>
        <v>73.650000000000006</v>
      </c>
      <c r="G145" s="15">
        <f t="shared" si="5"/>
        <v>-7.2786089769509644E-3</v>
      </c>
      <c r="H145" s="5"/>
      <c r="I145" s="6"/>
      <c r="J145" s="6"/>
      <c r="K145" s="6"/>
      <c r="L145" s="7"/>
      <c r="M145" s="8"/>
    </row>
    <row r="146" spans="1:13" ht="25.2" x14ac:dyDescent="0.25">
      <c r="A146" s="17">
        <f>'التقرير اليومى'!A286</f>
        <v>46245</v>
      </c>
      <c r="B146" s="12">
        <f>'التقرير اليومى'!D286</f>
        <v>37</v>
      </c>
      <c r="C146" s="12">
        <f>'التقرير اليومى'!G286</f>
        <v>37.69</v>
      </c>
      <c r="D146" s="15">
        <f t="shared" si="4"/>
        <v>1.8648648648648587E-2</v>
      </c>
      <c r="E146" s="12">
        <f>'التقرير اليومى'!D287</f>
        <v>73.650000000000006</v>
      </c>
      <c r="F146" s="12">
        <f>'التقرير اليومى'!G287</f>
        <v>74.599999999999994</v>
      </c>
      <c r="G146" s="15">
        <f t="shared" si="5"/>
        <v>1.2898845892735758E-2</v>
      </c>
      <c r="H146" s="5"/>
      <c r="I146" s="6"/>
      <c r="J146" s="6"/>
      <c r="K146" s="6"/>
      <c r="L146" s="7"/>
      <c r="M146" s="8"/>
    </row>
    <row r="147" spans="1:13" ht="25.2" x14ac:dyDescent="0.25">
      <c r="A147" s="17">
        <f>'التقرير اليومى'!A288</f>
        <v>46246</v>
      </c>
      <c r="B147" s="12">
        <f>'التقرير اليومى'!D288</f>
        <v>37.69</v>
      </c>
      <c r="C147" s="12">
        <f>'التقرير اليومى'!G288</f>
        <v>38</v>
      </c>
      <c r="D147" s="15">
        <f t="shared" si="4"/>
        <v>8.2249933669408942E-3</v>
      </c>
      <c r="E147" s="12">
        <f>'التقرير اليومى'!D289</f>
        <v>74.599999999999994</v>
      </c>
      <c r="F147" s="12">
        <f>'التقرير اليومى'!G289</f>
        <v>75.069999999999993</v>
      </c>
      <c r="G147" s="15">
        <f t="shared" si="5"/>
        <v>6.3002680965147306E-3</v>
      </c>
      <c r="H147" s="5"/>
      <c r="I147" s="6"/>
      <c r="J147" s="6"/>
      <c r="K147" s="6"/>
      <c r="L147" s="7"/>
      <c r="M147" s="8"/>
    </row>
    <row r="148" spans="1:13" ht="25.2" x14ac:dyDescent="0.25">
      <c r="A148" s="17">
        <f>'التقرير اليومى'!A290</f>
        <v>46247</v>
      </c>
      <c r="B148" s="12">
        <f>'التقرير اليومى'!D290</f>
        <v>38</v>
      </c>
      <c r="C148" s="12">
        <f>'التقرير اليومى'!G290</f>
        <v>39.909999999999997</v>
      </c>
      <c r="D148" s="15">
        <f t="shared" si="4"/>
        <v>5.0263157894736753E-2</v>
      </c>
      <c r="E148" s="12">
        <f>'التقرير اليومى'!D291</f>
        <v>75.069999999999993</v>
      </c>
      <c r="F148" s="12">
        <f>'التقرير اليومى'!G291</f>
        <v>77.900000000000006</v>
      </c>
      <c r="G148" s="15">
        <f t="shared" si="5"/>
        <v>3.7698148394831661E-2</v>
      </c>
      <c r="H148" s="5"/>
      <c r="I148" s="6"/>
      <c r="J148" s="6"/>
      <c r="K148" s="6"/>
      <c r="L148" s="7"/>
      <c r="M148" s="8"/>
    </row>
    <row r="149" spans="1:13" ht="25.2" x14ac:dyDescent="0.25">
      <c r="A149" s="17">
        <f>'التقرير اليومى'!A292</f>
        <v>46250</v>
      </c>
      <c r="B149" s="12">
        <f>'التقرير اليومى'!D292</f>
        <v>39.909999999999997</v>
      </c>
      <c r="C149" s="12">
        <f>'التقرير اليومى'!G292</f>
        <v>40.799999999999997</v>
      </c>
      <c r="D149" s="15">
        <f t="shared" si="4"/>
        <v>2.2300175394637953E-2</v>
      </c>
      <c r="E149" s="12">
        <f>'التقرير اليومى'!D293</f>
        <v>77.900000000000006</v>
      </c>
      <c r="F149" s="12">
        <f>'التقرير اليومى'!G293</f>
        <v>79.7</v>
      </c>
      <c r="G149" s="15">
        <f t="shared" si="5"/>
        <v>2.3106546854942196E-2</v>
      </c>
      <c r="H149" s="5"/>
      <c r="I149" s="6"/>
      <c r="J149" s="6"/>
      <c r="K149" s="6"/>
      <c r="L149" s="7"/>
      <c r="M149" s="8"/>
    </row>
    <row r="150" spans="1:13" ht="25.2" x14ac:dyDescent="0.25">
      <c r="A150" s="17"/>
      <c r="B150" s="12"/>
      <c r="C150" s="12"/>
      <c r="D150" s="15" t="e">
        <f t="shared" si="4"/>
        <v>#DIV/0!</v>
      </c>
      <c r="E150" s="12"/>
      <c r="F150" s="12"/>
      <c r="G150" s="15" t="e">
        <f t="shared" si="5"/>
        <v>#DIV/0!</v>
      </c>
      <c r="H150" s="5"/>
      <c r="I150" s="6"/>
      <c r="J150" s="6"/>
      <c r="K150" s="6"/>
      <c r="L150" s="7"/>
      <c r="M150" s="8"/>
    </row>
    <row r="151" spans="1:13" ht="25.2" x14ac:dyDescent="0.25">
      <c r="A151" s="17"/>
      <c r="B151" s="12"/>
      <c r="C151" s="12"/>
      <c r="D151" s="15" t="e">
        <f t="shared" si="4"/>
        <v>#DIV/0!</v>
      </c>
      <c r="E151" s="12"/>
      <c r="F151" s="12"/>
      <c r="G151" s="15" t="e">
        <f t="shared" si="5"/>
        <v>#DIV/0!</v>
      </c>
      <c r="H151" s="5"/>
      <c r="I151" s="6"/>
      <c r="J151" s="6"/>
      <c r="K151" s="6"/>
      <c r="L151" s="7"/>
      <c r="M151" s="8"/>
    </row>
    <row r="152" spans="1:13" ht="25.2" x14ac:dyDescent="0.25">
      <c r="A152" s="17"/>
      <c r="B152" s="12"/>
      <c r="C152" s="12"/>
      <c r="D152" s="15" t="e">
        <f t="shared" si="4"/>
        <v>#DIV/0!</v>
      </c>
      <c r="E152" s="12"/>
      <c r="F152" s="12"/>
      <c r="G152" s="15" t="e">
        <f t="shared" si="5"/>
        <v>#DIV/0!</v>
      </c>
      <c r="H152" s="5"/>
      <c r="I152" s="6"/>
      <c r="J152" s="6"/>
      <c r="K152" s="6"/>
      <c r="L152" s="7"/>
      <c r="M152" s="8"/>
    </row>
    <row r="153" spans="1:13" ht="25.2" x14ac:dyDescent="0.25">
      <c r="A153" s="17"/>
      <c r="B153" s="12"/>
      <c r="C153" s="12"/>
      <c r="D153" s="15" t="e">
        <f t="shared" si="4"/>
        <v>#DIV/0!</v>
      </c>
      <c r="E153" s="12"/>
      <c r="F153" s="12"/>
      <c r="G153" s="15" t="e">
        <f t="shared" si="5"/>
        <v>#DIV/0!</v>
      </c>
      <c r="H153" s="5"/>
      <c r="I153" s="6"/>
      <c r="J153" s="6"/>
      <c r="K153" s="6"/>
      <c r="L153" s="7"/>
      <c r="M153" s="8"/>
    </row>
    <row r="154" spans="1:13" ht="25.2" x14ac:dyDescent="0.25">
      <c r="A154" s="17"/>
      <c r="B154" s="12"/>
      <c r="C154" s="12"/>
      <c r="D154" s="15" t="e">
        <f t="shared" si="4"/>
        <v>#DIV/0!</v>
      </c>
      <c r="E154" s="12"/>
      <c r="F154" s="12"/>
      <c r="G154" s="15" t="e">
        <f t="shared" si="5"/>
        <v>#DIV/0!</v>
      </c>
      <c r="H154" s="5"/>
      <c r="I154" s="6"/>
      <c r="J154" s="6"/>
      <c r="K154" s="6"/>
      <c r="L154" s="7"/>
      <c r="M154" s="8"/>
    </row>
    <row r="155" spans="1:13" ht="25.2" x14ac:dyDescent="0.25">
      <c r="A155" s="17"/>
      <c r="B155" s="12"/>
      <c r="C155" s="12"/>
      <c r="D155" s="15" t="e">
        <f t="shared" si="4"/>
        <v>#DIV/0!</v>
      </c>
      <c r="E155" s="12"/>
      <c r="F155" s="12"/>
      <c r="G155" s="15" t="e">
        <f t="shared" si="5"/>
        <v>#DIV/0!</v>
      </c>
      <c r="H155" s="5"/>
      <c r="I155" s="6"/>
      <c r="J155" s="6"/>
      <c r="K155" s="6"/>
      <c r="L155" s="7"/>
      <c r="M155" s="8"/>
    </row>
    <row r="156" spans="1:13" ht="25.2" x14ac:dyDescent="0.25">
      <c r="A156" s="17"/>
      <c r="B156" s="12"/>
      <c r="C156" s="12"/>
      <c r="D156" s="15" t="e">
        <f t="shared" si="4"/>
        <v>#DIV/0!</v>
      </c>
      <c r="E156" s="12"/>
      <c r="F156" s="12"/>
      <c r="G156" s="15" t="e">
        <f t="shared" si="5"/>
        <v>#DIV/0!</v>
      </c>
      <c r="H156" s="5"/>
      <c r="I156" s="6"/>
      <c r="J156" s="6"/>
      <c r="K156" s="6"/>
      <c r="L156" s="7"/>
      <c r="M156" s="8"/>
    </row>
    <row r="157" spans="1:13" ht="25.2" x14ac:dyDescent="0.25">
      <c r="A157" s="17"/>
      <c r="B157" s="12"/>
      <c r="C157" s="12"/>
      <c r="D157" s="15" t="e">
        <f t="shared" si="4"/>
        <v>#DIV/0!</v>
      </c>
      <c r="E157" s="12"/>
      <c r="F157" s="12"/>
      <c r="G157" s="15" t="e">
        <f t="shared" si="5"/>
        <v>#DIV/0!</v>
      </c>
      <c r="H157" s="5"/>
      <c r="I157" s="6"/>
      <c r="J157" s="6"/>
      <c r="K157" s="6"/>
      <c r="L157" s="7"/>
      <c r="M157" s="8"/>
    </row>
    <row r="158" spans="1:13" ht="25.2" x14ac:dyDescent="0.25">
      <c r="A158" s="17"/>
      <c r="B158" s="12"/>
      <c r="C158" s="12"/>
      <c r="D158" s="15" t="e">
        <f t="shared" si="4"/>
        <v>#DIV/0!</v>
      </c>
      <c r="E158" s="12"/>
      <c r="F158" s="12"/>
      <c r="G158" s="15" t="e">
        <f t="shared" si="5"/>
        <v>#DIV/0!</v>
      </c>
      <c r="H158" s="5"/>
      <c r="I158" s="6"/>
      <c r="J158" s="6"/>
      <c r="K158" s="6"/>
      <c r="L158" s="7"/>
      <c r="M158" s="8"/>
    </row>
    <row r="159" spans="1:13" ht="25.2" x14ac:dyDescent="0.25">
      <c r="A159" s="17"/>
      <c r="B159" s="12"/>
      <c r="C159" s="12"/>
      <c r="D159" s="15" t="e">
        <f t="shared" si="4"/>
        <v>#DIV/0!</v>
      </c>
      <c r="E159" s="12"/>
      <c r="F159" s="12"/>
      <c r="G159" s="15" t="e">
        <f t="shared" si="5"/>
        <v>#DIV/0!</v>
      </c>
      <c r="H159" s="5"/>
      <c r="I159" s="6"/>
      <c r="J159" s="6"/>
      <c r="K159" s="6"/>
      <c r="L159" s="7"/>
      <c r="M159" s="8"/>
    </row>
    <row r="160" spans="1:13" ht="25.2" x14ac:dyDescent="0.25">
      <c r="A160" s="17"/>
      <c r="B160" s="12"/>
      <c r="C160" s="12"/>
      <c r="D160" s="15" t="e">
        <f t="shared" si="4"/>
        <v>#DIV/0!</v>
      </c>
      <c r="E160" s="12"/>
      <c r="F160" s="12"/>
      <c r="G160" s="15" t="e">
        <f t="shared" si="5"/>
        <v>#DIV/0!</v>
      </c>
      <c r="H160" s="5"/>
      <c r="I160" s="6"/>
      <c r="J160" s="6"/>
      <c r="K160" s="6"/>
      <c r="L160" s="7"/>
      <c r="M160" s="8"/>
    </row>
    <row r="161" spans="1:13" ht="25.2" x14ac:dyDescent="0.25">
      <c r="A161" s="17"/>
      <c r="B161" s="12"/>
      <c r="C161" s="12"/>
      <c r="D161" s="15" t="e">
        <f t="shared" si="4"/>
        <v>#DIV/0!</v>
      </c>
      <c r="E161" s="12"/>
      <c r="F161" s="12"/>
      <c r="G161" s="15" t="e">
        <f t="shared" si="5"/>
        <v>#DIV/0!</v>
      </c>
      <c r="H161" s="5"/>
      <c r="I161" s="6"/>
      <c r="J161" s="6"/>
      <c r="K161" s="6"/>
      <c r="L161" s="7"/>
      <c r="M161" s="8"/>
    </row>
    <row r="162" spans="1:13" ht="25.2" x14ac:dyDescent="0.25">
      <c r="A162" s="17"/>
      <c r="B162" s="12"/>
      <c r="C162" s="12"/>
      <c r="D162" s="15" t="e">
        <f t="shared" si="4"/>
        <v>#DIV/0!</v>
      </c>
      <c r="E162" s="12"/>
      <c r="F162" s="12"/>
      <c r="G162" s="15" t="e">
        <f t="shared" si="5"/>
        <v>#DIV/0!</v>
      </c>
      <c r="H162" s="5"/>
      <c r="I162" s="6"/>
      <c r="J162" s="6"/>
      <c r="K162" s="6"/>
      <c r="L162" s="7"/>
      <c r="M162" s="8"/>
    </row>
    <row r="163" spans="1:13" ht="25.2" x14ac:dyDescent="0.25">
      <c r="A163" s="17"/>
      <c r="B163" s="12"/>
      <c r="C163" s="12"/>
      <c r="D163" s="15" t="e">
        <f t="shared" si="4"/>
        <v>#DIV/0!</v>
      </c>
      <c r="E163" s="12"/>
      <c r="F163" s="12"/>
      <c r="G163" s="15" t="e">
        <f t="shared" si="5"/>
        <v>#DIV/0!</v>
      </c>
      <c r="H163" s="5"/>
      <c r="I163" s="6"/>
      <c r="J163" s="6"/>
      <c r="K163" s="6"/>
      <c r="L163" s="7"/>
      <c r="M163" s="8"/>
    </row>
    <row r="164" spans="1:13" ht="25.2" x14ac:dyDescent="0.25">
      <c r="A164" s="17"/>
      <c r="B164" s="12"/>
      <c r="C164" s="12"/>
      <c r="D164" s="15" t="e">
        <f t="shared" si="4"/>
        <v>#DIV/0!</v>
      </c>
      <c r="E164" s="12"/>
      <c r="F164" s="12"/>
      <c r="G164" s="15" t="e">
        <f t="shared" si="5"/>
        <v>#DIV/0!</v>
      </c>
      <c r="H164" s="5"/>
      <c r="I164" s="6"/>
      <c r="J164" s="6"/>
      <c r="K164" s="6"/>
      <c r="L164" s="7"/>
      <c r="M164" s="8"/>
    </row>
    <row r="165" spans="1:13" ht="25.2" x14ac:dyDescent="0.25">
      <c r="A165" s="17"/>
      <c r="B165" s="12"/>
      <c r="C165" s="12"/>
      <c r="D165" s="15" t="e">
        <f t="shared" si="4"/>
        <v>#DIV/0!</v>
      </c>
      <c r="E165" s="12"/>
      <c r="F165" s="12"/>
      <c r="G165" s="15" t="e">
        <f t="shared" si="5"/>
        <v>#DIV/0!</v>
      </c>
      <c r="H165" s="5"/>
      <c r="I165" s="6"/>
      <c r="J165" s="6"/>
      <c r="K165" s="6"/>
      <c r="L165" s="7"/>
      <c r="M165" s="8"/>
    </row>
    <row r="166" spans="1:13" ht="25.2" x14ac:dyDescent="0.25">
      <c r="A166" s="17"/>
      <c r="B166" s="12"/>
      <c r="C166" s="12"/>
      <c r="D166" s="15" t="e">
        <f t="shared" si="4"/>
        <v>#DIV/0!</v>
      </c>
      <c r="E166" s="12"/>
      <c r="F166" s="12"/>
      <c r="G166" s="15" t="e">
        <f t="shared" si="5"/>
        <v>#DIV/0!</v>
      </c>
      <c r="H166" s="5"/>
      <c r="I166" s="6"/>
      <c r="J166" s="6"/>
      <c r="K166" s="6"/>
      <c r="L166" s="7"/>
      <c r="M166" s="8"/>
    </row>
    <row r="167" spans="1:13" ht="25.2" x14ac:dyDescent="0.25">
      <c r="A167" s="17"/>
      <c r="B167" s="12"/>
      <c r="C167" s="12"/>
      <c r="D167" s="15" t="e">
        <f t="shared" si="4"/>
        <v>#DIV/0!</v>
      </c>
      <c r="E167" s="12"/>
      <c r="F167" s="12"/>
      <c r="G167" s="15" t="e">
        <f t="shared" si="5"/>
        <v>#DIV/0!</v>
      </c>
      <c r="H167" s="5"/>
      <c r="I167" s="6"/>
      <c r="J167" s="6"/>
      <c r="K167" s="6"/>
      <c r="L167" s="7"/>
      <c r="M167" s="8"/>
    </row>
    <row r="168" spans="1:13" ht="25.2" x14ac:dyDescent="0.25">
      <c r="A168" s="17"/>
      <c r="B168" s="12"/>
      <c r="C168" s="12"/>
      <c r="D168" s="15" t="e">
        <f t="shared" si="4"/>
        <v>#DIV/0!</v>
      </c>
      <c r="E168" s="12"/>
      <c r="F168" s="12"/>
      <c r="G168" s="15" t="e">
        <f t="shared" si="5"/>
        <v>#DIV/0!</v>
      </c>
      <c r="H168" s="5"/>
      <c r="I168" s="6"/>
      <c r="J168" s="6"/>
      <c r="K168" s="6"/>
      <c r="L168" s="7"/>
      <c r="M168" s="8"/>
    </row>
    <row r="169" spans="1:13" ht="25.2" x14ac:dyDescent="0.25">
      <c r="A169" s="17"/>
      <c r="B169" s="12"/>
      <c r="C169" s="12"/>
      <c r="D169" s="15" t="e">
        <f t="shared" si="4"/>
        <v>#DIV/0!</v>
      </c>
      <c r="E169" s="12"/>
      <c r="F169" s="12"/>
      <c r="G169" s="15" t="e">
        <f t="shared" si="5"/>
        <v>#DIV/0!</v>
      </c>
      <c r="H169" s="5"/>
      <c r="I169" s="6"/>
      <c r="J169" s="6"/>
      <c r="K169" s="6"/>
      <c r="L169" s="7"/>
      <c r="M169" s="8"/>
    </row>
    <row r="170" spans="1:13" ht="25.2" x14ac:dyDescent="0.25">
      <c r="A170" s="17"/>
      <c r="B170" s="12"/>
      <c r="C170" s="12"/>
      <c r="D170" s="15" t="e">
        <f t="shared" si="4"/>
        <v>#DIV/0!</v>
      </c>
      <c r="E170" s="12"/>
      <c r="F170" s="12"/>
      <c r="G170" s="15" t="e">
        <f t="shared" si="5"/>
        <v>#DIV/0!</v>
      </c>
      <c r="H170" s="5"/>
      <c r="I170" s="6"/>
      <c r="J170" s="6"/>
      <c r="K170" s="6"/>
      <c r="L170" s="7"/>
      <c r="M170" s="8"/>
    </row>
    <row r="171" spans="1:13" ht="25.2" x14ac:dyDescent="0.25">
      <c r="A171" s="17"/>
      <c r="B171" s="12"/>
      <c r="C171" s="12"/>
      <c r="D171" s="15" t="e">
        <f t="shared" si="4"/>
        <v>#DIV/0!</v>
      </c>
      <c r="E171" s="12"/>
      <c r="F171" s="12"/>
      <c r="G171" s="15" t="e">
        <f t="shared" si="5"/>
        <v>#DIV/0!</v>
      </c>
      <c r="H171" s="5"/>
      <c r="I171" s="6"/>
      <c r="J171" s="6"/>
      <c r="K171" s="6"/>
      <c r="L171" s="7"/>
      <c r="M171" s="8"/>
    </row>
    <row r="172" spans="1:13" ht="25.2" x14ac:dyDescent="0.25">
      <c r="A172" s="17"/>
      <c r="B172" s="12"/>
      <c r="C172" s="12"/>
      <c r="D172" s="15" t="e">
        <f t="shared" si="4"/>
        <v>#DIV/0!</v>
      </c>
      <c r="E172" s="12"/>
      <c r="F172" s="12"/>
      <c r="G172" s="15" t="e">
        <f t="shared" si="5"/>
        <v>#DIV/0!</v>
      </c>
      <c r="H172" s="5"/>
      <c r="I172" s="6"/>
      <c r="J172" s="6"/>
      <c r="K172" s="6"/>
      <c r="L172" s="7"/>
      <c r="M172" s="8"/>
    </row>
    <row r="173" spans="1:13" ht="25.2" x14ac:dyDescent="0.25">
      <c r="A173" s="17"/>
      <c r="B173" s="12"/>
      <c r="C173" s="12"/>
      <c r="D173" s="15" t="e">
        <f t="shared" si="4"/>
        <v>#DIV/0!</v>
      </c>
      <c r="E173" s="12"/>
      <c r="F173" s="12"/>
      <c r="G173" s="15" t="e">
        <f t="shared" si="5"/>
        <v>#DIV/0!</v>
      </c>
      <c r="H173" s="5"/>
      <c r="I173" s="6"/>
      <c r="J173" s="6"/>
      <c r="K173" s="6"/>
      <c r="L173" s="7"/>
      <c r="M173" s="8"/>
    </row>
    <row r="174" spans="1:13" ht="25.2" x14ac:dyDescent="0.25">
      <c r="A174" s="17"/>
      <c r="B174" s="12"/>
      <c r="C174" s="12"/>
      <c r="D174" s="15" t="e">
        <f t="shared" si="4"/>
        <v>#DIV/0!</v>
      </c>
      <c r="E174" s="12"/>
      <c r="F174" s="12"/>
      <c r="G174" s="15" t="e">
        <f t="shared" si="5"/>
        <v>#DIV/0!</v>
      </c>
      <c r="H174" s="5"/>
      <c r="I174" s="6"/>
      <c r="J174" s="6"/>
      <c r="K174" s="6"/>
      <c r="L174" s="7"/>
      <c r="M174" s="8"/>
    </row>
    <row r="175" spans="1:13" ht="25.2" x14ac:dyDescent="0.25">
      <c r="A175" s="17"/>
      <c r="B175" s="12"/>
      <c r="C175" s="12"/>
      <c r="D175" s="15" t="e">
        <f t="shared" si="4"/>
        <v>#DIV/0!</v>
      </c>
      <c r="E175" s="12"/>
      <c r="F175" s="12"/>
      <c r="G175" s="15" t="e">
        <f t="shared" si="5"/>
        <v>#DIV/0!</v>
      </c>
      <c r="H175" s="5"/>
      <c r="I175" s="6"/>
      <c r="J175" s="6"/>
      <c r="K175" s="6"/>
      <c r="L175" s="7"/>
      <c r="M175" s="8"/>
    </row>
    <row r="176" spans="1:13" ht="25.2" x14ac:dyDescent="0.25">
      <c r="A176" s="17"/>
      <c r="B176" s="12"/>
      <c r="C176" s="12"/>
      <c r="D176" s="15" t="e">
        <f t="shared" si="4"/>
        <v>#DIV/0!</v>
      </c>
      <c r="E176" s="12"/>
      <c r="F176" s="12"/>
      <c r="G176" s="15" t="e">
        <f t="shared" si="5"/>
        <v>#DIV/0!</v>
      </c>
      <c r="H176" s="5"/>
      <c r="I176" s="6"/>
      <c r="J176" s="6"/>
      <c r="K176" s="6"/>
      <c r="L176" s="7"/>
      <c r="M176" s="8"/>
    </row>
    <row r="177" spans="1:13" ht="25.2" x14ac:dyDescent="0.25">
      <c r="A177" s="17"/>
      <c r="B177" s="12"/>
      <c r="C177" s="12"/>
      <c r="D177" s="15" t="e">
        <f t="shared" si="4"/>
        <v>#DIV/0!</v>
      </c>
      <c r="E177" s="12"/>
      <c r="F177" s="12"/>
      <c r="G177" s="15" t="e">
        <f t="shared" si="5"/>
        <v>#DIV/0!</v>
      </c>
      <c r="H177" s="5"/>
      <c r="I177" s="6"/>
      <c r="J177" s="6"/>
      <c r="K177" s="6"/>
      <c r="L177" s="7"/>
      <c r="M177" s="8"/>
    </row>
    <row r="178" spans="1:13" ht="25.2" x14ac:dyDescent="0.25">
      <c r="A178" s="17"/>
      <c r="B178" s="12"/>
      <c r="C178" s="12"/>
      <c r="D178" s="15" t="e">
        <f t="shared" si="4"/>
        <v>#DIV/0!</v>
      </c>
      <c r="E178" s="12"/>
      <c r="F178" s="12"/>
      <c r="G178" s="15" t="e">
        <f t="shared" si="5"/>
        <v>#DIV/0!</v>
      </c>
      <c r="H178" s="5"/>
      <c r="I178" s="6"/>
      <c r="J178" s="6"/>
      <c r="K178" s="6"/>
      <c r="L178" s="7"/>
      <c r="M178" s="8"/>
    </row>
    <row r="179" spans="1:13" ht="25.2" x14ac:dyDescent="0.25">
      <c r="A179" s="17"/>
      <c r="B179" s="12"/>
      <c r="C179" s="12"/>
      <c r="D179" s="15" t="e">
        <f t="shared" si="4"/>
        <v>#DIV/0!</v>
      </c>
      <c r="E179" s="12"/>
      <c r="F179" s="12"/>
      <c r="G179" s="15" t="e">
        <f t="shared" si="5"/>
        <v>#DIV/0!</v>
      </c>
      <c r="H179" s="5"/>
      <c r="I179" s="6"/>
      <c r="J179" s="6"/>
      <c r="K179" s="6"/>
      <c r="L179" s="7"/>
      <c r="M179" s="8"/>
    </row>
    <row r="180" spans="1:13" ht="25.2" x14ac:dyDescent="0.25">
      <c r="A180" s="17"/>
      <c r="B180" s="12"/>
      <c r="C180" s="12"/>
      <c r="D180" s="15" t="e">
        <f t="shared" si="4"/>
        <v>#DIV/0!</v>
      </c>
      <c r="E180" s="12"/>
      <c r="F180" s="12"/>
      <c r="G180" s="15" t="e">
        <f t="shared" si="5"/>
        <v>#DIV/0!</v>
      </c>
      <c r="H180" s="5"/>
      <c r="I180" s="6"/>
      <c r="J180" s="6"/>
      <c r="K180" s="6"/>
      <c r="L180" s="7"/>
      <c r="M180" s="8"/>
    </row>
    <row r="181" spans="1:13" ht="25.2" x14ac:dyDescent="0.25">
      <c r="A181" s="17"/>
      <c r="B181" s="12"/>
      <c r="C181" s="12"/>
      <c r="D181" s="15" t="e">
        <f t="shared" si="4"/>
        <v>#DIV/0!</v>
      </c>
      <c r="E181" s="12"/>
      <c r="F181" s="12"/>
      <c r="G181" s="15" t="e">
        <f t="shared" si="5"/>
        <v>#DIV/0!</v>
      </c>
      <c r="H181" s="5"/>
      <c r="I181" s="6"/>
      <c r="J181" s="6"/>
      <c r="K181" s="6"/>
      <c r="L181" s="7"/>
      <c r="M181" s="8"/>
    </row>
    <row r="182" spans="1:13" ht="25.2" x14ac:dyDescent="0.25">
      <c r="A182" s="17"/>
      <c r="B182" s="12"/>
      <c r="C182" s="12"/>
      <c r="D182" s="15" t="e">
        <f t="shared" si="4"/>
        <v>#DIV/0!</v>
      </c>
      <c r="E182" s="12"/>
      <c r="F182" s="12"/>
      <c r="G182" s="15" t="e">
        <f t="shared" si="5"/>
        <v>#DIV/0!</v>
      </c>
      <c r="H182" s="5"/>
      <c r="I182" s="6"/>
      <c r="J182" s="6"/>
      <c r="K182" s="6"/>
      <c r="L182" s="7"/>
      <c r="M182" s="8"/>
    </row>
  </sheetData>
  <mergeCells count="3">
    <mergeCell ref="A1:G1"/>
    <mergeCell ref="B2:D2"/>
    <mergeCell ref="E2:G2"/>
  </mergeCells>
  <printOptions horizontalCentered="1" verticalCentered="1"/>
  <pageMargins left="0.7" right="0.7" top="0.75" bottom="0.75" header="0.3" footer="0.3"/>
  <pageSetup paperSize="9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التقرير اليومى</vt:lpstr>
      <vt:lpstr>تقرير متابعة</vt:lpstr>
      <vt:lpstr>نسبة التغير</vt:lpstr>
      <vt:lpstr>'التقرير اليومى'!Print_Titles</vt:lpstr>
      <vt:lpstr>'تقرير متابعة'!Print_Titles</vt:lpstr>
      <vt:lpstr>'نسبة التغير'!Print_Titles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Ragab Al-Tamemy</dc:creator>
  <cp:lastModifiedBy>Mohamed Ragab Al-Tamemy</cp:lastModifiedBy>
  <cp:lastPrinted>2026-01-19T11:45:41Z</cp:lastPrinted>
  <dcterms:created xsi:type="dcterms:W3CDTF">2025-12-31T09:08:01Z</dcterms:created>
  <dcterms:modified xsi:type="dcterms:W3CDTF">2026-08-17T10:11:18Z</dcterms:modified>
</cp:coreProperties>
</file>